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ssefaPhDstuff2\buckup_feb\Papers with data\Gully morhodynamics\sup docs\"/>
    </mc:Choice>
  </mc:AlternateContent>
  <bookViews>
    <workbookView xWindow="0" yWindow="0" windowWidth="20490" windowHeight="7455" activeTab="1"/>
  </bookViews>
  <sheets>
    <sheet name="V vs A-13 equa.developed" sheetId="3" r:id="rId1"/>
    <sheet name="Totalvolume-Table 1" sheetId="4" r:id="rId2"/>
    <sheet name="Table2" sheetId="7" r:id="rId3"/>
    <sheet name="Fig.2" sheetId="8" r:id="rId4"/>
    <sheet name="Fig.4" sheetId="9" r:id="rId5"/>
    <sheet name="Fig.5" sheetId="10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9" l="1"/>
  <c r="P18" i="7"/>
  <c r="P6" i="7"/>
  <c r="P7" i="7"/>
  <c r="P8" i="7"/>
  <c r="P9" i="7"/>
  <c r="P10" i="7"/>
  <c r="P11" i="7"/>
  <c r="P12" i="7"/>
  <c r="P13" i="7"/>
  <c r="P14" i="7"/>
  <c r="P15" i="7"/>
  <c r="P16" i="7"/>
  <c r="P17" i="7"/>
  <c r="P5" i="7"/>
  <c r="O21" i="7"/>
  <c r="O20" i="7"/>
  <c r="O19" i="7"/>
  <c r="R21" i="7"/>
  <c r="R20" i="7"/>
  <c r="R19" i="7"/>
  <c r="R18" i="7"/>
  <c r="R6" i="7"/>
  <c r="R7" i="7"/>
  <c r="R8" i="7"/>
  <c r="R9" i="7"/>
  <c r="R10" i="7"/>
  <c r="R11" i="7"/>
  <c r="R12" i="7"/>
  <c r="R13" i="7"/>
  <c r="R14" i="7"/>
  <c r="R15" i="7"/>
  <c r="R16" i="7"/>
  <c r="R17" i="7"/>
  <c r="R5" i="7"/>
  <c r="Q18" i="7"/>
  <c r="G253" i="4"/>
  <c r="D49" i="4"/>
  <c r="B47" i="4" l="1"/>
  <c r="B48" i="4" s="1"/>
  <c r="E249" i="4"/>
  <c r="E250" i="4" s="1"/>
  <c r="P23" i="9" l="1"/>
  <c r="P24" i="9"/>
  <c r="P25" i="9"/>
  <c r="P26" i="9"/>
  <c r="P27" i="9"/>
  <c r="P28" i="9"/>
  <c r="P29" i="9"/>
  <c r="P30" i="9"/>
  <c r="P31" i="9"/>
  <c r="P32" i="9"/>
  <c r="P33" i="9"/>
  <c r="P34" i="9"/>
  <c r="P22" i="9"/>
  <c r="I22" i="9" l="1"/>
  <c r="J22" i="9"/>
  <c r="L22" i="9" s="1"/>
  <c r="I23" i="9"/>
  <c r="L23" i="9" s="1"/>
  <c r="N23" i="9" s="1"/>
  <c r="J23" i="9"/>
  <c r="I24" i="9"/>
  <c r="J24" i="9"/>
  <c r="L24" i="9" s="1"/>
  <c r="N24" i="9" s="1"/>
  <c r="I25" i="9"/>
  <c r="L25" i="9" s="1"/>
  <c r="N25" i="9" s="1"/>
  <c r="J25" i="9"/>
  <c r="I26" i="9"/>
  <c r="J26" i="9"/>
  <c r="L26" i="9" s="1"/>
  <c r="N26" i="9" s="1"/>
  <c r="I27" i="9"/>
  <c r="L27" i="9" s="1"/>
  <c r="N27" i="9" s="1"/>
  <c r="J27" i="9"/>
  <c r="I28" i="9"/>
  <c r="J28" i="9"/>
  <c r="L28" i="9" s="1"/>
  <c r="N28" i="9" s="1"/>
  <c r="I29" i="9"/>
  <c r="L29" i="9" s="1"/>
  <c r="N29" i="9" s="1"/>
  <c r="J29" i="9"/>
  <c r="I30" i="9"/>
  <c r="J30" i="9"/>
  <c r="L30" i="9" s="1"/>
  <c r="N30" i="9" s="1"/>
  <c r="I31" i="9"/>
  <c r="L31" i="9" s="1"/>
  <c r="N31" i="9" s="1"/>
  <c r="J31" i="9"/>
  <c r="I32" i="9"/>
  <c r="J32" i="9"/>
  <c r="L32" i="9" s="1"/>
  <c r="N32" i="9" s="1"/>
  <c r="I33" i="9"/>
  <c r="L33" i="9" s="1"/>
  <c r="N33" i="9" s="1"/>
  <c r="J33" i="9"/>
  <c r="I34" i="9"/>
  <c r="J34" i="9"/>
  <c r="L34" i="9" s="1"/>
  <c r="N34" i="9" s="1"/>
  <c r="I35" i="9"/>
  <c r="H22" i="9"/>
  <c r="H35" i="9" s="1"/>
  <c r="H23" i="9"/>
  <c r="H24" i="9"/>
  <c r="H25" i="9"/>
  <c r="H26" i="9"/>
  <c r="H27" i="9"/>
  <c r="H28" i="9"/>
  <c r="H29" i="9"/>
  <c r="H30" i="9"/>
  <c r="H31" i="9"/>
  <c r="H32" i="9"/>
  <c r="H33" i="9"/>
  <c r="H34" i="9"/>
  <c r="G23" i="9"/>
  <c r="G24" i="9"/>
  <c r="G25" i="9"/>
  <c r="G26" i="9"/>
  <c r="G27" i="9"/>
  <c r="G28" i="9"/>
  <c r="G29" i="9"/>
  <c r="G30" i="9"/>
  <c r="G31" i="9"/>
  <c r="G32" i="9"/>
  <c r="G33" i="9"/>
  <c r="G34" i="9"/>
  <c r="G22" i="9"/>
  <c r="G35" i="9" s="1"/>
  <c r="J17" i="9"/>
  <c r="K17" i="9"/>
  <c r="L17" i="9"/>
  <c r="I17" i="9"/>
  <c r="D35" i="9"/>
  <c r="C35" i="9"/>
  <c r="B35" i="9"/>
  <c r="K34" i="9"/>
  <c r="K33" i="9"/>
  <c r="M33" i="9" s="1"/>
  <c r="O33" i="9" s="1"/>
  <c r="K32" i="9"/>
  <c r="K31" i="9"/>
  <c r="K30" i="9"/>
  <c r="K29" i="9"/>
  <c r="M29" i="9" s="1"/>
  <c r="O29" i="9" s="1"/>
  <c r="K28" i="9"/>
  <c r="K27" i="9"/>
  <c r="M27" i="9" s="1"/>
  <c r="O27" i="9" s="1"/>
  <c r="K26" i="9"/>
  <c r="M26" i="9" s="1"/>
  <c r="O26" i="9" s="1"/>
  <c r="K25" i="9"/>
  <c r="M25" i="9" s="1"/>
  <c r="O25" i="9" s="1"/>
  <c r="K24" i="9"/>
  <c r="K23" i="9"/>
  <c r="K22" i="9"/>
  <c r="M22" i="9" s="1"/>
  <c r="O18" i="7"/>
  <c r="O6" i="7"/>
  <c r="O7" i="7"/>
  <c r="O8" i="7"/>
  <c r="O9" i="7"/>
  <c r="O10" i="7"/>
  <c r="O11" i="7"/>
  <c r="O12" i="7"/>
  <c r="O13" i="7"/>
  <c r="O14" i="7"/>
  <c r="O15" i="7"/>
  <c r="O16" i="7"/>
  <c r="O17" i="7"/>
  <c r="O5" i="7"/>
  <c r="N18" i="7"/>
  <c r="N6" i="7"/>
  <c r="N7" i="7"/>
  <c r="N8" i="7"/>
  <c r="N9" i="7"/>
  <c r="N10" i="7"/>
  <c r="N11" i="7"/>
  <c r="N12" i="7"/>
  <c r="N13" i="7"/>
  <c r="N14" i="7"/>
  <c r="N15" i="7"/>
  <c r="N16" i="7"/>
  <c r="N17" i="7"/>
  <c r="N5" i="7"/>
  <c r="M18" i="7"/>
  <c r="M6" i="7"/>
  <c r="M7" i="7"/>
  <c r="M8" i="7"/>
  <c r="M9" i="7"/>
  <c r="M10" i="7"/>
  <c r="M11" i="7"/>
  <c r="M12" i="7"/>
  <c r="M13" i="7"/>
  <c r="M14" i="7"/>
  <c r="M15" i="7"/>
  <c r="M16" i="7"/>
  <c r="M17" i="7"/>
  <c r="M5" i="7"/>
  <c r="L18" i="7"/>
  <c r="L6" i="7"/>
  <c r="L7" i="7"/>
  <c r="L8" i="7"/>
  <c r="L9" i="7"/>
  <c r="L10" i="7"/>
  <c r="L11" i="7"/>
  <c r="L12" i="7"/>
  <c r="L13" i="7"/>
  <c r="L14" i="7"/>
  <c r="L15" i="7"/>
  <c r="L16" i="7"/>
  <c r="L17" i="7"/>
  <c r="L5" i="7"/>
  <c r="K18" i="7"/>
  <c r="K6" i="7"/>
  <c r="K7" i="7"/>
  <c r="K8" i="7"/>
  <c r="K9" i="7"/>
  <c r="K10" i="7"/>
  <c r="K11" i="7"/>
  <c r="K12" i="7"/>
  <c r="K13" i="7"/>
  <c r="K14" i="7"/>
  <c r="K15" i="7"/>
  <c r="K16" i="7"/>
  <c r="K17" i="7"/>
  <c r="K5" i="7"/>
  <c r="D18" i="7"/>
  <c r="E18" i="7"/>
  <c r="F18" i="7"/>
  <c r="G18" i="7"/>
  <c r="H18" i="7"/>
  <c r="I18" i="7"/>
  <c r="C18" i="7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5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5" i="3"/>
  <c r="K66" i="3"/>
  <c r="K67" i="3"/>
  <c r="K68" i="3"/>
  <c r="K69" i="3"/>
  <c r="K70" i="3"/>
  <c r="K71" i="3"/>
  <c r="K72" i="3"/>
  <c r="K73" i="3"/>
  <c r="K74" i="3"/>
  <c r="K76" i="3"/>
  <c r="K77" i="3"/>
  <c r="K80" i="3"/>
  <c r="K81" i="3"/>
  <c r="K82" i="3"/>
  <c r="K83" i="3"/>
  <c r="K85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5" i="3"/>
  <c r="I66" i="3"/>
  <c r="I67" i="3"/>
  <c r="I68" i="3"/>
  <c r="I69" i="3"/>
  <c r="I70" i="3"/>
  <c r="I71" i="3"/>
  <c r="I72" i="3"/>
  <c r="I73" i="3"/>
  <c r="I74" i="3"/>
  <c r="I76" i="3"/>
  <c r="I77" i="3"/>
  <c r="I80" i="3"/>
  <c r="I81" i="3"/>
  <c r="I82" i="3"/>
  <c r="I83" i="3"/>
  <c r="I85" i="3"/>
  <c r="F27" i="3"/>
  <c r="H27" i="3" s="1"/>
  <c r="F28" i="3"/>
  <c r="H28" i="3" s="1"/>
  <c r="F29" i="3"/>
  <c r="H29" i="3" s="1"/>
  <c r="F30" i="3"/>
  <c r="H30" i="3" s="1"/>
  <c r="F31" i="3"/>
  <c r="H31" i="3" s="1"/>
  <c r="F32" i="3"/>
  <c r="H32" i="3" s="1"/>
  <c r="G88" i="3"/>
  <c r="F33" i="3"/>
  <c r="F34" i="3"/>
  <c r="H34" i="3" s="1"/>
  <c r="F35" i="3"/>
  <c r="F36" i="3"/>
  <c r="F37" i="3"/>
  <c r="F38" i="3"/>
  <c r="H38" i="3" s="1"/>
  <c r="F39" i="3"/>
  <c r="F40" i="3"/>
  <c r="H40" i="3" s="1"/>
  <c r="F41" i="3"/>
  <c r="F42" i="3"/>
  <c r="H42" i="3" s="1"/>
  <c r="F43" i="3"/>
  <c r="F44" i="3"/>
  <c r="H44" i="3" s="1"/>
  <c r="F45" i="3"/>
  <c r="F46" i="3"/>
  <c r="H46" i="3" s="1"/>
  <c r="F47" i="3"/>
  <c r="F48" i="3"/>
  <c r="H48" i="3" s="1"/>
  <c r="F49" i="3"/>
  <c r="F50" i="3"/>
  <c r="H50" i="3" s="1"/>
  <c r="F51" i="3"/>
  <c r="F52" i="3"/>
  <c r="F53" i="3"/>
  <c r="F54" i="3"/>
  <c r="H54" i="3" s="1"/>
  <c r="F55" i="3"/>
  <c r="F56" i="3"/>
  <c r="H56" i="3" s="1"/>
  <c r="F57" i="3"/>
  <c r="H57" i="3" s="1"/>
  <c r="F58" i="3"/>
  <c r="H58" i="3" s="1"/>
  <c r="F59" i="3"/>
  <c r="H59" i="3" s="1"/>
  <c r="F60" i="3"/>
  <c r="H60" i="3" s="1"/>
  <c r="H33" i="3"/>
  <c r="H35" i="3"/>
  <c r="H36" i="3"/>
  <c r="H37" i="3"/>
  <c r="H39" i="3"/>
  <c r="H41" i="3"/>
  <c r="H43" i="3"/>
  <c r="H45" i="3"/>
  <c r="H47" i="3"/>
  <c r="H49" i="3"/>
  <c r="H51" i="3"/>
  <c r="H52" i="3"/>
  <c r="H53" i="3"/>
  <c r="H55" i="3"/>
  <c r="O22" i="9" l="1"/>
  <c r="N22" i="9"/>
  <c r="N35" i="9" s="1"/>
  <c r="L35" i="9"/>
  <c r="M34" i="9"/>
  <c r="O34" i="9" s="1"/>
  <c r="M30" i="9"/>
  <c r="O30" i="9" s="1"/>
  <c r="M28" i="9"/>
  <c r="O28" i="9" s="1"/>
  <c r="M24" i="9"/>
  <c r="O24" i="9" s="1"/>
  <c r="M32" i="9"/>
  <c r="O32" i="9" s="1"/>
  <c r="J35" i="9"/>
  <c r="M31" i="9"/>
  <c r="O31" i="9" s="1"/>
  <c r="M23" i="9"/>
  <c r="O23" i="9" s="1"/>
  <c r="K35" i="9"/>
  <c r="F80" i="3"/>
  <c r="F81" i="3"/>
  <c r="F82" i="3"/>
  <c r="H82" i="3" s="1"/>
  <c r="F249" i="4"/>
  <c r="F251" i="4" s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4" i="4"/>
  <c r="C47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" i="4"/>
  <c r="M8" i="3"/>
  <c r="M11" i="3"/>
  <c r="M17" i="3"/>
  <c r="M21" i="3"/>
  <c r="K12" i="3"/>
  <c r="G87" i="3"/>
  <c r="F85" i="3"/>
  <c r="H85" i="3" s="1"/>
  <c r="F83" i="3"/>
  <c r="H83" i="3" s="1"/>
  <c r="H81" i="3"/>
  <c r="F77" i="3"/>
  <c r="H77" i="3" s="1"/>
  <c r="F76" i="3"/>
  <c r="H76" i="3" s="1"/>
  <c r="F74" i="3"/>
  <c r="H74" i="3" s="1"/>
  <c r="F73" i="3"/>
  <c r="H73" i="3" s="1"/>
  <c r="F66" i="3"/>
  <c r="H66" i="3" s="1"/>
  <c r="F67" i="3"/>
  <c r="H67" i="3" s="1"/>
  <c r="F68" i="3"/>
  <c r="H68" i="3" s="1"/>
  <c r="F69" i="3"/>
  <c r="H69" i="3" s="1"/>
  <c r="F70" i="3"/>
  <c r="H70" i="3" s="1"/>
  <c r="F71" i="3"/>
  <c r="H71" i="3" s="1"/>
  <c r="F72" i="3"/>
  <c r="H72" i="3" s="1"/>
  <c r="F65" i="3"/>
  <c r="H65" i="3" s="1"/>
  <c r="F62" i="3"/>
  <c r="H62" i="3" s="1"/>
  <c r="F61" i="3"/>
  <c r="H61" i="3" s="1"/>
  <c r="F24" i="3"/>
  <c r="H24" i="3" s="1"/>
  <c r="F23" i="3"/>
  <c r="H23" i="3" s="1"/>
  <c r="I23" i="3" s="1"/>
  <c r="F22" i="3"/>
  <c r="H22" i="3" s="1"/>
  <c r="M22" i="3" s="1"/>
  <c r="F19" i="3"/>
  <c r="H19" i="3" s="1"/>
  <c r="I19" i="3" s="1"/>
  <c r="F20" i="3"/>
  <c r="H20" i="3" s="1"/>
  <c r="M20" i="3" s="1"/>
  <c r="F18" i="3"/>
  <c r="H18" i="3" s="1"/>
  <c r="I18" i="3" s="1"/>
  <c r="F13" i="3"/>
  <c r="F14" i="3"/>
  <c r="F15" i="3"/>
  <c r="H15" i="3" s="1"/>
  <c r="I15" i="3" s="1"/>
  <c r="F16" i="3"/>
  <c r="H16" i="3" s="1"/>
  <c r="M16" i="3" s="1"/>
  <c r="F12" i="3"/>
  <c r="H12" i="3" s="1"/>
  <c r="M12" i="3" s="1"/>
  <c r="F10" i="3"/>
  <c r="H10" i="3" s="1"/>
  <c r="M10" i="3" s="1"/>
  <c r="F9" i="3"/>
  <c r="H9" i="3" s="1"/>
  <c r="M9" i="3" s="1"/>
  <c r="F7" i="3"/>
  <c r="H7" i="3" s="1"/>
  <c r="M7" i="3" s="1"/>
  <c r="F6" i="3"/>
  <c r="H6" i="3" s="1"/>
  <c r="M35" i="9" l="1"/>
  <c r="O35" i="9"/>
  <c r="P35" i="9"/>
  <c r="D47" i="4"/>
  <c r="H80" i="3"/>
  <c r="H14" i="3"/>
  <c r="I14" i="3" s="1"/>
  <c r="H13" i="3"/>
  <c r="I13" i="3" s="1"/>
  <c r="M6" i="3"/>
  <c r="G249" i="4"/>
  <c r="K20" i="3"/>
  <c r="K10" i="3"/>
  <c r="K6" i="3"/>
  <c r="K24" i="3"/>
  <c r="K19" i="3"/>
  <c r="K14" i="3"/>
  <c r="K9" i="3"/>
  <c r="K23" i="3"/>
  <c r="K18" i="3"/>
  <c r="K13" i="3"/>
  <c r="K7" i="3"/>
  <c r="K15" i="3"/>
  <c r="K22" i="3"/>
  <c r="K16" i="3"/>
  <c r="I22" i="3"/>
  <c r="I16" i="3"/>
  <c r="I12" i="3"/>
  <c r="I7" i="3"/>
  <c r="M23" i="3"/>
  <c r="M19" i="3"/>
  <c r="M15" i="3"/>
  <c r="I6" i="3"/>
  <c r="I20" i="3"/>
  <c r="I10" i="3"/>
  <c r="M18" i="3"/>
  <c r="I24" i="3"/>
  <c r="I9" i="3"/>
  <c r="G251" i="4" l="1"/>
  <c r="G252" i="4" s="1"/>
  <c r="H87" i="3"/>
  <c r="M13" i="3"/>
  <c r="M14" i="3"/>
  <c r="K87" i="3"/>
  <c r="I87" i="3"/>
  <c r="M87" i="3" l="1"/>
  <c r="N87" i="3" s="1"/>
  <c r="L87" i="3"/>
</calcChain>
</file>

<file path=xl/sharedStrings.xml><?xml version="1.0" encoding="utf-8"?>
<sst xmlns="http://schemas.openxmlformats.org/spreadsheetml/2006/main" count="245" uniqueCount="117">
  <si>
    <t>V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</si>
  <si>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</si>
  <si>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</si>
  <si>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</si>
  <si>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</si>
  <si>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</si>
  <si>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</si>
  <si>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</si>
  <si>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</si>
  <si>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</si>
  <si>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</si>
  <si>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</si>
  <si>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</si>
  <si>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</si>
  <si>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SURF.AREA</t>
  </si>
  <si>
    <t>W</t>
  </si>
  <si>
    <t>L</t>
  </si>
  <si>
    <t>C1</t>
  </si>
  <si>
    <t>C2</t>
  </si>
  <si>
    <t>C3</t>
  </si>
  <si>
    <t>C6</t>
  </si>
  <si>
    <t>C5</t>
  </si>
  <si>
    <t>C4</t>
  </si>
  <si>
    <t>C20</t>
  </si>
  <si>
    <t>C19</t>
  </si>
  <si>
    <t>C18</t>
  </si>
  <si>
    <t>C17</t>
  </si>
  <si>
    <t>C16</t>
  </si>
  <si>
    <t>C15</t>
  </si>
  <si>
    <t>C14</t>
  </si>
  <si>
    <t>C13</t>
  </si>
  <si>
    <t>C12</t>
  </si>
  <si>
    <t>C7</t>
  </si>
  <si>
    <t>C8</t>
  </si>
  <si>
    <t>C9</t>
  </si>
  <si>
    <t>SA</t>
  </si>
  <si>
    <t>area (m2)</t>
  </si>
  <si>
    <t>a</t>
  </si>
  <si>
    <t>b</t>
  </si>
  <si>
    <t>c</t>
  </si>
  <si>
    <t>d</t>
  </si>
  <si>
    <t>e</t>
  </si>
  <si>
    <t>f</t>
  </si>
  <si>
    <t>(y-x)^2</t>
  </si>
  <si>
    <t>sum(y-x)^2)</t>
  </si>
  <si>
    <t>(y-yave)^2</t>
  </si>
  <si>
    <t>1-b/c</t>
  </si>
  <si>
    <t>x-y</t>
  </si>
  <si>
    <t>SUM</t>
  </si>
  <si>
    <t>AVE</t>
  </si>
  <si>
    <t>sum(x-y)/sumY</t>
  </si>
  <si>
    <t>PBIAS</t>
  </si>
  <si>
    <t>NSE</t>
  </si>
  <si>
    <t>V (m3)</t>
  </si>
  <si>
    <t>m3</t>
  </si>
  <si>
    <t>tons</t>
  </si>
  <si>
    <t>Million tons</t>
  </si>
  <si>
    <r>
      <t>y = 1.65x</t>
    </r>
    <r>
      <rPr>
        <vertAlign val="superscript"/>
        <sz val="11"/>
        <color theme="1"/>
        <rFont val="Calibri"/>
        <family val="2"/>
        <scheme val="minor"/>
      </rPr>
      <t>1.1</t>
    </r>
  </si>
  <si>
    <t>C10</t>
  </si>
  <si>
    <t>C11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</si>
  <si>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</si>
  <si>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</si>
  <si>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</si>
  <si>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</si>
  <si>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</si>
  <si>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</si>
  <si>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</si>
  <si>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</si>
  <si>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</si>
  <si>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</si>
  <si>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</si>
  <si>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Gully name</t>
  </si>
  <si>
    <t>Gully surface area (m2)</t>
  </si>
  <si>
    <t>Change (m2)</t>
  </si>
  <si>
    <t>Bulk density</t>
  </si>
  <si>
    <t>(g cm-3)</t>
  </si>
  <si>
    <t>From aerial image</t>
  </si>
  <si>
    <t>Manual measurement</t>
  </si>
  <si>
    <t>Total</t>
  </si>
  <si>
    <r>
      <t>y = 0.9167x</t>
    </r>
    <r>
      <rPr>
        <vertAlign val="superscript"/>
        <sz val="11"/>
        <color theme="1"/>
        <rFont val="Calibri"/>
        <family val="2"/>
        <scheme val="minor"/>
      </rPr>
      <t>1.184</t>
    </r>
  </si>
  <si>
    <t>V(m3) 2005</t>
  </si>
  <si>
    <t>V(m3) 2014</t>
  </si>
  <si>
    <t>Change V</t>
  </si>
  <si>
    <t>Soil loss (t)</t>
  </si>
  <si>
    <t>soil loss 2013-2014 (t)</t>
  </si>
  <si>
    <r>
      <t>V = 0.9167A</t>
    </r>
    <r>
      <rPr>
        <vertAlign val="superscript"/>
        <sz val="11"/>
        <color theme="1"/>
        <rFont val="Calibri"/>
        <family val="2"/>
        <scheme val="minor"/>
      </rPr>
      <t>1.184</t>
    </r>
  </si>
  <si>
    <t>H</t>
  </si>
  <si>
    <t>Fig.4 (a)</t>
  </si>
  <si>
    <t>Commulative head cut retreat</t>
  </si>
  <si>
    <t>Total measured</t>
  </si>
  <si>
    <t>GULLY NAME</t>
  </si>
  <si>
    <t>Increased area (2013)</t>
  </si>
  <si>
    <t>Increased volumee (2013)</t>
  </si>
  <si>
    <t>Increased area (2014)</t>
  </si>
  <si>
    <t>Increased volume (2014)</t>
  </si>
  <si>
    <t>Min. water table depth (m)</t>
  </si>
  <si>
    <t>ave headcut depth (m)</t>
  </si>
  <si>
    <t>VOLUME</t>
  </si>
  <si>
    <t>CHANGE IN AREA</t>
  </si>
  <si>
    <t>CHANGE IN V</t>
  </si>
  <si>
    <t>Fig.4(b) only by headcut retreat</t>
  </si>
  <si>
    <t>soil loss</t>
  </si>
  <si>
    <t>Gully characterstis in the total gully length of 13 gullies</t>
  </si>
  <si>
    <t>Length</t>
  </si>
  <si>
    <t>shape length (m)</t>
  </si>
  <si>
    <t>Length (m)</t>
  </si>
  <si>
    <t>ton</t>
  </si>
  <si>
    <t>DA</t>
  </si>
  <si>
    <t>t/ha/yr</t>
  </si>
  <si>
    <t>min</t>
  </si>
  <si>
    <t>max</t>
  </si>
  <si>
    <t>avee</t>
  </si>
  <si>
    <t>change in A(2013-2014)</t>
  </si>
  <si>
    <t>Measured values</t>
  </si>
  <si>
    <r>
      <t>v = a(SA)</t>
    </r>
    <r>
      <rPr>
        <vertAlign val="superscript"/>
        <sz val="11"/>
        <color theme="1"/>
        <rFont val="Calibri"/>
        <family val="2"/>
        <scheme val="minor"/>
      </rPr>
      <t>b</t>
    </r>
  </si>
  <si>
    <t>The gully volume-surface area relationship was developed from the detail measurements of 13 gullies</t>
  </si>
  <si>
    <t xml:space="preserve">Predicted volume from the relation developed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</si>
</sst>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8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164" fontId="0" fillId="0" borderId="0" xfId="0" applyNumberFormat="1"/>
    <xf numFmtId="2" fontId="0" fillId="0" borderId="0" xfId="0" applyNumberForma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5" fillId="0" borderId="0" xfId="0" applyFont="1"/>
    <xf numFmtId="14" fontId="0" fillId="0" borderId="0" xfId="0" applyNumberFormat="1"/>
    <xf numFmtId="165" fontId="3" fillId="0" borderId="0" xfId="0" applyNumberFormat="1" applyFont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1" fontId="0" fillId="0" borderId="1" xfId="0" applyNumberFormat="1" applyBorder="1"/>
    <xf numFmtId="14" fontId="0" fillId="0" borderId="5" xfId="0" applyNumberFormat="1" applyBorder="1"/>
    <xf numFmtId="14" fontId="0" fillId="0" borderId="6" xfId="0" applyNumberFormat="1" applyBorder="1"/>
    <xf numFmtId="14" fontId="0" fillId="0" borderId="3" xfId="0" applyNumberFormat="1" applyFill="1" applyBorder="1"/>
    <xf numFmtId="14" fontId="0" fillId="0" borderId="3" xfId="0" applyNumberFormat="1" applyBorder="1"/>
    <xf numFmtId="14" fontId="0" fillId="0" borderId="7" xfId="0" applyNumberFormat="1" applyBorder="1"/>
    <xf numFmtId="0" fontId="0" fillId="0" borderId="8" xfId="0" applyBorder="1" applyAlignment="1">
      <alignment horizontal="distributed" vertical="top"/>
    </xf>
    <xf numFmtId="0" fontId="0" fillId="0" borderId="2" xfId="0" applyBorder="1" applyAlignment="1">
      <alignment horizontal="distributed" vertical="top"/>
    </xf>
    <xf numFmtId="0" fontId="0" fillId="0" borderId="9" xfId="0" applyBorder="1" applyAlignment="1">
      <alignment horizontal="distributed" vertical="top"/>
    </xf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164" fontId="0" fillId="0" borderId="0" xfId="0" applyNumberFormat="1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1" xfId="0" applyFill="1" applyBorder="1"/>
    <xf numFmtId="164" fontId="0" fillId="0" borderId="2" xfId="0" applyNumberFormat="1" applyBorder="1"/>
    <xf numFmtId="0" fontId="0" fillId="0" borderId="0" xfId="0" applyAlignment="1">
      <alignment horizontal="distributed" vertical="distributed"/>
    </xf>
    <xf numFmtId="2" fontId="0" fillId="0" borderId="0" xfId="0" applyNumberFormat="1" applyAlignment="1">
      <alignment horizontal="center"/>
    </xf>
    <xf numFmtId="14" fontId="0" fillId="0" borderId="10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4" fontId="0" fillId="0" borderId="0" xfId="0" applyNumberFormat="1" applyBorder="1"/>
    <xf numFmtId="14" fontId="0" fillId="0" borderId="11" xfId="0" applyNumberFormat="1" applyBorder="1"/>
    <xf numFmtId="1" fontId="0" fillId="0" borderId="0" xfId="0" applyNumberFormat="1" applyBorder="1"/>
    <xf numFmtId="1" fontId="0" fillId="0" borderId="2" xfId="0" applyNumberFormat="1" applyBorder="1"/>
    <xf numFmtId="0" fontId="6" fillId="0" borderId="0" xfId="0" applyFont="1"/>
    <xf numFmtId="1" fontId="6" fillId="0" borderId="0" xfId="0" applyNumberFormat="1" applyFont="1"/>
    <xf numFmtId="0" fontId="7" fillId="0" borderId="0" xfId="0" applyFont="1"/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2" fontId="0" fillId="2" borderId="11" xfId="0" applyNumberFormat="1" applyFill="1" applyBorder="1"/>
    <xf numFmtId="164" fontId="0" fillId="2" borderId="0" xfId="0" applyNumberForma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11" xfId="0" applyFont="1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9" xfId="0" applyFill="1" applyBorder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14979899387576553"/>
                  <c:y val="-6.931722076407115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'V vs A-13 equa.developed'!$F$6:$F$60</c:f>
              <c:numCache>
                <c:formatCode>General</c:formatCode>
                <c:ptCount val="55"/>
                <c:pt idx="0">
                  <c:v>3.28</c:v>
                </c:pt>
                <c:pt idx="1">
                  <c:v>16.8</c:v>
                </c:pt>
                <c:pt idx="3">
                  <c:v>9.2399999999999984</c:v>
                </c:pt>
                <c:pt idx="4">
                  <c:v>11.78</c:v>
                </c:pt>
                <c:pt idx="6">
                  <c:v>22.5</c:v>
                </c:pt>
                <c:pt idx="7">
                  <c:v>21.5</c:v>
                </c:pt>
                <c:pt idx="8">
                  <c:v>4.8</c:v>
                </c:pt>
                <c:pt idx="9">
                  <c:v>63</c:v>
                </c:pt>
                <c:pt idx="10">
                  <c:v>47.15</c:v>
                </c:pt>
                <c:pt idx="12">
                  <c:v>8.19</c:v>
                </c:pt>
                <c:pt idx="13">
                  <c:v>24.200000000000003</c:v>
                </c:pt>
                <c:pt idx="14">
                  <c:v>7.74</c:v>
                </c:pt>
                <c:pt idx="16">
                  <c:v>54.375</c:v>
                </c:pt>
                <c:pt idx="17">
                  <c:v>213.75</c:v>
                </c:pt>
                <c:pt idx="18">
                  <c:v>162.5</c:v>
                </c:pt>
                <c:pt idx="21">
                  <c:v>63.540749999999996</c:v>
                </c:pt>
                <c:pt idx="22">
                  <c:v>66.790750000000003</c:v>
                </c:pt>
                <c:pt idx="23">
                  <c:v>72.981535000000008</c:v>
                </c:pt>
                <c:pt idx="24">
                  <c:v>108.02453999999999</c:v>
                </c:pt>
                <c:pt idx="25">
                  <c:v>100.15073999999998</c:v>
                </c:pt>
                <c:pt idx="26">
                  <c:v>75.734999999999985</c:v>
                </c:pt>
                <c:pt idx="27">
                  <c:v>115.43999999999998</c:v>
                </c:pt>
                <c:pt idx="28">
                  <c:v>181.82399999999998</c:v>
                </c:pt>
                <c:pt idx="29">
                  <c:v>143.649</c:v>
                </c:pt>
                <c:pt idx="30">
                  <c:v>171.33278000000001</c:v>
                </c:pt>
                <c:pt idx="31">
                  <c:v>314.48205799999999</c:v>
                </c:pt>
                <c:pt idx="32">
                  <c:v>519.61</c:v>
                </c:pt>
                <c:pt idx="33">
                  <c:v>528.5</c:v>
                </c:pt>
                <c:pt idx="34">
                  <c:v>515.44999999999993</c:v>
                </c:pt>
                <c:pt idx="35">
                  <c:v>353.25</c:v>
                </c:pt>
                <c:pt idx="36">
                  <c:v>390.77499999999998</c:v>
                </c:pt>
                <c:pt idx="37">
                  <c:v>330.07999999999993</c:v>
                </c:pt>
                <c:pt idx="38">
                  <c:v>410.89499399999994</c:v>
                </c:pt>
                <c:pt idx="39">
                  <c:v>404.34074449999997</c:v>
                </c:pt>
                <c:pt idx="40">
                  <c:v>549.00400000000002</c:v>
                </c:pt>
                <c:pt idx="41">
                  <c:v>413.40975000000003</c:v>
                </c:pt>
                <c:pt idx="42">
                  <c:v>505.78399999999999</c:v>
                </c:pt>
                <c:pt idx="43">
                  <c:v>338.52774999999997</c:v>
                </c:pt>
                <c:pt idx="44">
                  <c:v>404.04925000000003</c:v>
                </c:pt>
                <c:pt idx="45">
                  <c:v>392.22675450000003</c:v>
                </c:pt>
                <c:pt idx="46">
                  <c:v>368.30025450000005</c:v>
                </c:pt>
                <c:pt idx="47">
                  <c:v>231.37875000000003</c:v>
                </c:pt>
                <c:pt idx="48">
                  <c:v>117.9025</c:v>
                </c:pt>
                <c:pt idx="49">
                  <c:v>158.44800000000001</c:v>
                </c:pt>
                <c:pt idx="50">
                  <c:v>212.39999999999998</c:v>
                </c:pt>
                <c:pt idx="51">
                  <c:v>204.45</c:v>
                </c:pt>
                <c:pt idx="52">
                  <c:v>184.73400000000001</c:v>
                </c:pt>
                <c:pt idx="53">
                  <c:v>126.407994</c:v>
                </c:pt>
                <c:pt idx="54">
                  <c:v>129.43199399999997</c:v>
                </c:pt>
              </c:numCache>
            </c:numRef>
          </c:xVal>
          <c:yVal>
            <c:numRef>
              <c:f>'V vs A-13 equa.developed'!$G$6:$G$60</c:f>
              <c:numCache>
                <c:formatCode>General</c:formatCode>
                <c:ptCount val="55"/>
                <c:pt idx="0">
                  <c:v>8.8650000000000002</c:v>
                </c:pt>
                <c:pt idx="1">
                  <c:v>47.304000000000009</c:v>
                </c:pt>
                <c:pt idx="3">
                  <c:v>17.333250000000003</c:v>
                </c:pt>
                <c:pt idx="4">
                  <c:v>21.166</c:v>
                </c:pt>
                <c:pt idx="6">
                  <c:v>19.3125</c:v>
                </c:pt>
                <c:pt idx="7">
                  <c:v>21.175000000000001</c:v>
                </c:pt>
                <c:pt idx="8">
                  <c:v>7.36</c:v>
                </c:pt>
                <c:pt idx="9">
                  <c:v>98.575000000000017</c:v>
                </c:pt>
                <c:pt idx="10">
                  <c:v>67.239999999999995</c:v>
                </c:pt>
                <c:pt idx="12" formatCode="0.00">
                  <c:v>11.999000000000001</c:v>
                </c:pt>
                <c:pt idx="13" formatCode="0.00">
                  <c:v>40.271000000000001</c:v>
                </c:pt>
                <c:pt idx="14" formatCode="0.00">
                  <c:v>14.696999999999997</c:v>
                </c:pt>
                <c:pt idx="16">
                  <c:v>174.61250000000001</c:v>
                </c:pt>
                <c:pt idx="17">
                  <c:v>781.01249999999993</c:v>
                </c:pt>
                <c:pt idx="18">
                  <c:v>548.2360000000001</c:v>
                </c:pt>
                <c:pt idx="21">
                  <c:v>70.421974999992017</c:v>
                </c:pt>
                <c:pt idx="22">
                  <c:v>60.017896249992191</c:v>
                </c:pt>
                <c:pt idx="23">
                  <c:v>62.434320960012883</c:v>
                </c:pt>
                <c:pt idx="24">
                  <c:v>83.582873100018361</c:v>
                </c:pt>
                <c:pt idx="25">
                  <c:v>74.145609585002617</c:v>
                </c:pt>
                <c:pt idx="26">
                  <c:v>50.976000000014217</c:v>
                </c:pt>
                <c:pt idx="27">
                  <c:v>217.41404750000945</c:v>
                </c:pt>
                <c:pt idx="28">
                  <c:v>426.23619300001508</c:v>
                </c:pt>
                <c:pt idx="29">
                  <c:v>408.58149149999315</c:v>
                </c:pt>
                <c:pt idx="30">
                  <c:v>534.96065950997001</c:v>
                </c:pt>
                <c:pt idx="31">
                  <c:v>932.84056471101906</c:v>
                </c:pt>
                <c:pt idx="32">
                  <c:v>1653.8163600001076</c:v>
                </c:pt>
                <c:pt idx="33">
                  <c:v>1658.3050645001185</c:v>
                </c:pt>
                <c:pt idx="34">
                  <c:v>1757.3148027500588</c:v>
                </c:pt>
                <c:pt idx="35">
                  <c:v>1332.2069729999646</c:v>
                </c:pt>
                <c:pt idx="36">
                  <c:v>1385.7935107499484</c:v>
                </c:pt>
                <c:pt idx="37">
                  <c:v>1128.0903350000526</c:v>
                </c:pt>
                <c:pt idx="38">
                  <c:v>1414.5237454356663</c:v>
                </c:pt>
                <c:pt idx="39">
                  <c:v>1328.0588918992703</c:v>
                </c:pt>
                <c:pt idx="40">
                  <c:v>1934.1836174720102</c:v>
                </c:pt>
                <c:pt idx="41">
                  <c:v>1426.7508981960291</c:v>
                </c:pt>
                <c:pt idx="42">
                  <c:v>1543.3525559999412</c:v>
                </c:pt>
                <c:pt idx="43">
                  <c:v>1059.651616823264</c:v>
                </c:pt>
                <c:pt idx="44">
                  <c:v>1177.3605103232753</c:v>
                </c:pt>
                <c:pt idx="45">
                  <c:v>1103.0472930757905</c:v>
                </c:pt>
                <c:pt idx="46">
                  <c:v>1060.7426288257602</c:v>
                </c:pt>
                <c:pt idx="47">
                  <c:v>695.00596616995665</c:v>
                </c:pt>
                <c:pt idx="48">
                  <c:v>340.54802880000381</c:v>
                </c:pt>
                <c:pt idx="49">
                  <c:v>389.43877860004466</c:v>
                </c:pt>
                <c:pt idx="50">
                  <c:v>552.56352360002143</c:v>
                </c:pt>
                <c:pt idx="51">
                  <c:v>496.77643392251457</c:v>
                </c:pt>
                <c:pt idx="52">
                  <c:v>421.1622733148119</c:v>
                </c:pt>
                <c:pt idx="53">
                  <c:v>294.50600585704552</c:v>
                </c:pt>
                <c:pt idx="54">
                  <c:v>237.75691745700553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'V vs A-13 equa.developed'!$F$6:$F$60</c:f>
              <c:numCache>
                <c:formatCode>General</c:formatCode>
                <c:ptCount val="55"/>
                <c:pt idx="0">
                  <c:v>3.28</c:v>
                </c:pt>
                <c:pt idx="1">
                  <c:v>16.8</c:v>
                </c:pt>
                <c:pt idx="3">
                  <c:v>9.2399999999999984</c:v>
                </c:pt>
                <c:pt idx="4">
                  <c:v>11.78</c:v>
                </c:pt>
                <c:pt idx="6">
                  <c:v>22.5</c:v>
                </c:pt>
                <c:pt idx="7">
                  <c:v>21.5</c:v>
                </c:pt>
                <c:pt idx="8">
                  <c:v>4.8</c:v>
                </c:pt>
                <c:pt idx="9">
                  <c:v>63</c:v>
                </c:pt>
                <c:pt idx="10">
                  <c:v>47.15</c:v>
                </c:pt>
                <c:pt idx="12">
                  <c:v>8.19</c:v>
                </c:pt>
                <c:pt idx="13">
                  <c:v>24.200000000000003</c:v>
                </c:pt>
                <c:pt idx="14">
                  <c:v>7.74</c:v>
                </c:pt>
                <c:pt idx="16">
                  <c:v>54.375</c:v>
                </c:pt>
                <c:pt idx="17">
                  <c:v>213.75</c:v>
                </c:pt>
                <c:pt idx="18">
                  <c:v>162.5</c:v>
                </c:pt>
                <c:pt idx="21">
                  <c:v>63.540749999999996</c:v>
                </c:pt>
                <c:pt idx="22">
                  <c:v>66.790750000000003</c:v>
                </c:pt>
                <c:pt idx="23">
                  <c:v>72.981535000000008</c:v>
                </c:pt>
                <c:pt idx="24">
                  <c:v>108.02453999999999</c:v>
                </c:pt>
                <c:pt idx="25">
                  <c:v>100.15073999999998</c:v>
                </c:pt>
                <c:pt idx="26">
                  <c:v>75.734999999999985</c:v>
                </c:pt>
                <c:pt idx="27">
                  <c:v>115.43999999999998</c:v>
                </c:pt>
                <c:pt idx="28">
                  <c:v>181.82399999999998</c:v>
                </c:pt>
                <c:pt idx="29">
                  <c:v>143.649</c:v>
                </c:pt>
                <c:pt idx="30">
                  <c:v>171.33278000000001</c:v>
                </c:pt>
                <c:pt idx="31">
                  <c:v>314.48205799999999</c:v>
                </c:pt>
                <c:pt idx="32">
                  <c:v>519.61</c:v>
                </c:pt>
                <c:pt idx="33">
                  <c:v>528.5</c:v>
                </c:pt>
                <c:pt idx="34">
                  <c:v>515.44999999999993</c:v>
                </c:pt>
                <c:pt idx="35">
                  <c:v>353.25</c:v>
                </c:pt>
                <c:pt idx="36">
                  <c:v>390.77499999999998</c:v>
                </c:pt>
                <c:pt idx="37">
                  <c:v>330.07999999999993</c:v>
                </c:pt>
                <c:pt idx="38">
                  <c:v>410.89499399999994</c:v>
                </c:pt>
                <c:pt idx="39">
                  <c:v>404.34074449999997</c:v>
                </c:pt>
                <c:pt idx="40">
                  <c:v>549.00400000000002</c:v>
                </c:pt>
                <c:pt idx="41">
                  <c:v>413.40975000000003</c:v>
                </c:pt>
                <c:pt idx="42">
                  <c:v>505.78399999999999</c:v>
                </c:pt>
                <c:pt idx="43">
                  <c:v>338.52774999999997</c:v>
                </c:pt>
                <c:pt idx="44">
                  <c:v>404.04925000000003</c:v>
                </c:pt>
                <c:pt idx="45">
                  <c:v>392.22675450000003</c:v>
                </c:pt>
                <c:pt idx="46">
                  <c:v>368.30025450000005</c:v>
                </c:pt>
                <c:pt idx="47">
                  <c:v>231.37875000000003</c:v>
                </c:pt>
                <c:pt idx="48">
                  <c:v>117.9025</c:v>
                </c:pt>
                <c:pt idx="49">
                  <c:v>158.44800000000001</c:v>
                </c:pt>
                <c:pt idx="50">
                  <c:v>212.39999999999998</c:v>
                </c:pt>
                <c:pt idx="51">
                  <c:v>204.45</c:v>
                </c:pt>
                <c:pt idx="52">
                  <c:v>184.73400000000001</c:v>
                </c:pt>
                <c:pt idx="53">
                  <c:v>126.407994</c:v>
                </c:pt>
                <c:pt idx="54">
                  <c:v>129.43199399999997</c:v>
                </c:pt>
              </c:numCache>
            </c:numRef>
          </c:xVal>
          <c:yVal>
            <c:numRef>
              <c:f>'V vs A-13 equa.developed'!$H$6:$H$60</c:f>
              <c:numCache>
                <c:formatCode>General</c:formatCode>
                <c:ptCount val="55"/>
                <c:pt idx="0">
                  <c:v>3.738437329623828</c:v>
                </c:pt>
                <c:pt idx="1">
                  <c:v>25.8619735516403</c:v>
                </c:pt>
                <c:pt idx="3">
                  <c:v>12.74239570400456</c:v>
                </c:pt>
                <c:pt idx="4">
                  <c:v>16.987579318751628</c:v>
                </c:pt>
                <c:pt idx="6">
                  <c:v>36.549343041631339</c:v>
                </c:pt>
                <c:pt idx="7">
                  <c:v>34.63399661834459</c:v>
                </c:pt>
                <c:pt idx="8">
                  <c:v>5.8679323553841947</c:v>
                </c:pt>
                <c:pt idx="9">
                  <c:v>123.68433096607637</c:v>
                </c:pt>
                <c:pt idx="10">
                  <c:v>87.760240153383961</c:v>
                </c:pt>
                <c:pt idx="12">
                  <c:v>11.046472439626438</c:v>
                </c:pt>
                <c:pt idx="13">
                  <c:v>39.841241857658709</c:v>
                </c:pt>
                <c:pt idx="14">
                  <c:v>10.33153309278568</c:v>
                </c:pt>
                <c:pt idx="16">
                  <c:v>103.89824442140365</c:v>
                </c:pt>
                <c:pt idx="17">
                  <c:v>525.41724606293678</c:v>
                </c:pt>
                <c:pt idx="18">
                  <c:v>379.79204001064517</c:v>
                </c:pt>
                <c:pt idx="21">
                  <c:v>124.9422838667026</c:v>
                </c:pt>
                <c:pt idx="22">
                  <c:v>132.5438547097184</c:v>
                </c:pt>
                <c:pt idx="23">
                  <c:v>147.21079497076659</c:v>
                </c:pt>
                <c:pt idx="24">
                  <c:v>234.19953347272244</c:v>
                </c:pt>
                <c:pt idx="25">
                  <c:v>214.12629482487225</c:v>
                </c:pt>
                <c:pt idx="26">
                  <c:v>153.80933103922035</c:v>
                </c:pt>
                <c:pt idx="27">
                  <c:v>253.35259342988061</c:v>
                </c:pt>
                <c:pt idx="28">
                  <c:v>433.8329196404074</c:v>
                </c:pt>
                <c:pt idx="29">
                  <c:v>328.20240594304403</c:v>
                </c:pt>
                <c:pt idx="30">
                  <c:v>404.35477897887648</c:v>
                </c:pt>
                <c:pt idx="31">
                  <c:v>829.94437756456648</c:v>
                </c:pt>
                <c:pt idx="32">
                  <c:v>1504.0339320079131</c:v>
                </c:pt>
                <c:pt idx="33">
                  <c:v>1534.5489407724406</c:v>
                </c:pt>
                <c:pt idx="34">
                  <c:v>1489.7875538337428</c:v>
                </c:pt>
                <c:pt idx="35">
                  <c:v>952.41179136768528</c:v>
                </c:pt>
                <c:pt idx="36">
                  <c:v>1073.3386579503315</c:v>
                </c:pt>
                <c:pt idx="37">
                  <c:v>878.90233657611986</c:v>
                </c:pt>
                <c:pt idx="38">
                  <c:v>1139.076259198097</c:v>
                </c:pt>
                <c:pt idx="39">
                  <c:v>1117.5951830492731</c:v>
                </c:pt>
                <c:pt idx="40">
                  <c:v>1605.2876922382306</c:v>
                </c:pt>
                <c:pt idx="41">
                  <c:v>1147.3349948210539</c:v>
                </c:pt>
                <c:pt idx="42">
                  <c:v>1456.7671391618694</c:v>
                </c:pt>
                <c:pt idx="43">
                  <c:v>905.59724981050113</c:v>
                </c:pt>
                <c:pt idx="44">
                  <c:v>1116.6413106745956</c:v>
                </c:pt>
                <c:pt idx="45">
                  <c:v>1078.0614969805954</c:v>
                </c:pt>
                <c:pt idx="46">
                  <c:v>1000.6418537346987</c:v>
                </c:pt>
                <c:pt idx="47">
                  <c:v>577.10450265846555</c:v>
                </c:pt>
                <c:pt idx="48">
                  <c:v>259.76385585009928</c:v>
                </c:pt>
                <c:pt idx="49">
                  <c:v>368.60515069408893</c:v>
                </c:pt>
                <c:pt idx="50">
                  <c:v>521.490518101558</c:v>
                </c:pt>
                <c:pt idx="51">
                  <c:v>498.46034954795709</c:v>
                </c:pt>
                <c:pt idx="52">
                  <c:v>442.06580784516763</c:v>
                </c:pt>
                <c:pt idx="53">
                  <c:v>282.09574037026277</c:v>
                </c:pt>
                <c:pt idx="54">
                  <c:v>290.1033725409095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0627840"/>
        <c:axId val="-790629472"/>
      </c:scatterChart>
      <c:valAx>
        <c:axId val="-79062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0629472"/>
        <c:crosses val="autoZero"/>
        <c:crossBetween val="midCat"/>
      </c:valAx>
      <c:valAx>
        <c:axId val="-79062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0627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'Totalvolume-Table 1'!$F$4:$F$248</c:f>
              <c:numCache>
                <c:formatCode>General</c:formatCode>
                <c:ptCount val="245"/>
                <c:pt idx="0">
                  <c:v>119.532578</c:v>
                </c:pt>
                <c:pt idx="1">
                  <c:v>79.908156000000005</c:v>
                </c:pt>
                <c:pt idx="2">
                  <c:v>74.514430000000004</c:v>
                </c:pt>
                <c:pt idx="3">
                  <c:v>110.135814</c:v>
                </c:pt>
                <c:pt idx="4">
                  <c:v>380.74269500000003</c:v>
                </c:pt>
                <c:pt idx="5">
                  <c:v>252.32808</c:v>
                </c:pt>
                <c:pt idx="6">
                  <c:v>163.5693</c:v>
                </c:pt>
                <c:pt idx="7">
                  <c:v>151.04871199999999</c:v>
                </c:pt>
                <c:pt idx="8">
                  <c:v>115.890676</c:v>
                </c:pt>
                <c:pt idx="9">
                  <c:v>462.873197</c:v>
                </c:pt>
                <c:pt idx="10">
                  <c:v>52.692283000000003</c:v>
                </c:pt>
                <c:pt idx="11">
                  <c:v>61.593890999999999</c:v>
                </c:pt>
                <c:pt idx="12">
                  <c:v>73.733618000000007</c:v>
                </c:pt>
                <c:pt idx="13">
                  <c:v>78.684209999999993</c:v>
                </c:pt>
                <c:pt idx="14">
                  <c:v>194.68408600000001</c:v>
                </c:pt>
                <c:pt idx="15">
                  <c:v>132.62714800000001</c:v>
                </c:pt>
                <c:pt idx="16">
                  <c:v>131.90032400000001</c:v>
                </c:pt>
                <c:pt idx="17">
                  <c:v>49.937714999999997</c:v>
                </c:pt>
                <c:pt idx="18">
                  <c:v>826.91729799999996</c:v>
                </c:pt>
                <c:pt idx="19">
                  <c:v>784.57452499999999</c:v>
                </c:pt>
                <c:pt idx="20">
                  <c:v>335.69405599999999</c:v>
                </c:pt>
                <c:pt idx="21">
                  <c:v>21.990082999999998</c:v>
                </c:pt>
                <c:pt idx="22">
                  <c:v>27.730654999999999</c:v>
                </c:pt>
                <c:pt idx="23">
                  <c:v>129.74744699999999</c:v>
                </c:pt>
                <c:pt idx="24">
                  <c:v>1052.724453</c:v>
                </c:pt>
                <c:pt idx="25">
                  <c:v>1118.8273369999999</c:v>
                </c:pt>
                <c:pt idx="26">
                  <c:v>825.452946</c:v>
                </c:pt>
                <c:pt idx="27">
                  <c:v>391.37898200000001</c:v>
                </c:pt>
                <c:pt idx="28">
                  <c:v>383.89261399999998</c:v>
                </c:pt>
                <c:pt idx="29">
                  <c:v>1154.1050319999999</c:v>
                </c:pt>
                <c:pt idx="30">
                  <c:v>893.67314799999997</c:v>
                </c:pt>
                <c:pt idx="31">
                  <c:v>316.379572</c:v>
                </c:pt>
                <c:pt idx="32">
                  <c:v>204.34136699999999</c:v>
                </c:pt>
                <c:pt idx="33">
                  <c:v>274.00660699999997</c:v>
                </c:pt>
                <c:pt idx="34">
                  <c:v>84.216032999999996</c:v>
                </c:pt>
                <c:pt idx="35">
                  <c:v>112.818476</c:v>
                </c:pt>
                <c:pt idx="36">
                  <c:v>1069.111214</c:v>
                </c:pt>
                <c:pt idx="37">
                  <c:v>641.56104200000004</c:v>
                </c:pt>
                <c:pt idx="38">
                  <c:v>1090.4695509999999</c:v>
                </c:pt>
                <c:pt idx="39">
                  <c:v>769.15664000000004</c:v>
                </c:pt>
                <c:pt idx="40">
                  <c:v>103.083578</c:v>
                </c:pt>
                <c:pt idx="41">
                  <c:v>331.15642600000001</c:v>
                </c:pt>
                <c:pt idx="42">
                  <c:v>156.90902</c:v>
                </c:pt>
                <c:pt idx="43">
                  <c:v>1367.0289809999999</c:v>
                </c:pt>
                <c:pt idx="44">
                  <c:v>62.617103</c:v>
                </c:pt>
                <c:pt idx="45">
                  <c:v>93.227125999999998</c:v>
                </c:pt>
                <c:pt idx="46">
                  <c:v>33.062643999999999</c:v>
                </c:pt>
                <c:pt idx="47">
                  <c:v>120.16979499999999</c:v>
                </c:pt>
                <c:pt idx="48">
                  <c:v>123.482292</c:v>
                </c:pt>
                <c:pt idx="49">
                  <c:v>177.48625699999999</c:v>
                </c:pt>
                <c:pt idx="50">
                  <c:v>530.92168600000002</c:v>
                </c:pt>
                <c:pt idx="51">
                  <c:v>286.92195800000002</c:v>
                </c:pt>
                <c:pt idx="52">
                  <c:v>6050.9514490000001</c:v>
                </c:pt>
                <c:pt idx="53">
                  <c:v>507.96622000000002</c:v>
                </c:pt>
                <c:pt idx="54">
                  <c:v>601.90135199999997</c:v>
                </c:pt>
                <c:pt idx="55">
                  <c:v>464.87769600000001</c:v>
                </c:pt>
                <c:pt idx="56">
                  <c:v>222.63827599999999</c:v>
                </c:pt>
                <c:pt idx="57">
                  <c:v>38.056061999999997</c:v>
                </c:pt>
                <c:pt idx="58">
                  <c:v>1320.881216</c:v>
                </c:pt>
                <c:pt idx="59">
                  <c:v>119.460244</c:v>
                </c:pt>
                <c:pt idx="60">
                  <c:v>180.29078799999999</c:v>
                </c:pt>
                <c:pt idx="61">
                  <c:v>616.99930700000004</c:v>
                </c:pt>
                <c:pt idx="62">
                  <c:v>162.073238</c:v>
                </c:pt>
                <c:pt idx="63">
                  <c:v>475.88611700000001</c:v>
                </c:pt>
                <c:pt idx="64">
                  <c:v>233.218772</c:v>
                </c:pt>
                <c:pt idx="65">
                  <c:v>244.678718</c:v>
                </c:pt>
                <c:pt idx="66">
                  <c:v>324.03295200000002</c:v>
                </c:pt>
                <c:pt idx="67">
                  <c:v>142.02880300000001</c:v>
                </c:pt>
                <c:pt idx="68">
                  <c:v>355.77366000000001</c:v>
                </c:pt>
                <c:pt idx="69">
                  <c:v>1705.6599960000001</c:v>
                </c:pt>
                <c:pt idx="70">
                  <c:v>1207.532021</c:v>
                </c:pt>
                <c:pt idx="71">
                  <c:v>401.659853</c:v>
                </c:pt>
                <c:pt idx="72">
                  <c:v>202.45586599999999</c:v>
                </c:pt>
                <c:pt idx="73">
                  <c:v>86.882187000000002</c:v>
                </c:pt>
                <c:pt idx="74">
                  <c:v>33.898910000000001</c:v>
                </c:pt>
                <c:pt idx="75">
                  <c:v>39.606807000000003</c:v>
                </c:pt>
                <c:pt idx="76">
                  <c:v>96.521356999999995</c:v>
                </c:pt>
                <c:pt idx="77">
                  <c:v>110.36021100000001</c:v>
                </c:pt>
                <c:pt idx="78">
                  <c:v>348.10769900000003</c:v>
                </c:pt>
                <c:pt idx="79">
                  <c:v>150.20512500000001</c:v>
                </c:pt>
                <c:pt idx="80">
                  <c:v>457.49088499999999</c:v>
                </c:pt>
                <c:pt idx="81">
                  <c:v>143.78879699999999</c:v>
                </c:pt>
                <c:pt idx="82">
                  <c:v>91.489382000000006</c:v>
                </c:pt>
                <c:pt idx="83">
                  <c:v>27.198245</c:v>
                </c:pt>
                <c:pt idx="84">
                  <c:v>34.115741999999997</c:v>
                </c:pt>
                <c:pt idx="85">
                  <c:v>4359.5305539999999</c:v>
                </c:pt>
                <c:pt idx="86">
                  <c:v>676.84162500000002</c:v>
                </c:pt>
                <c:pt idx="87">
                  <c:v>550.43491600000004</c:v>
                </c:pt>
                <c:pt idx="88">
                  <c:v>123.16427</c:v>
                </c:pt>
                <c:pt idx="89">
                  <c:v>625.46512800000005</c:v>
                </c:pt>
                <c:pt idx="90">
                  <c:v>162.34884500000001</c:v>
                </c:pt>
                <c:pt idx="91">
                  <c:v>475.39000800000002</c:v>
                </c:pt>
                <c:pt idx="92">
                  <c:v>101.902979</c:v>
                </c:pt>
                <c:pt idx="93">
                  <c:v>61.000990000000002</c:v>
                </c:pt>
                <c:pt idx="94">
                  <c:v>131.03087600000001</c:v>
                </c:pt>
                <c:pt idx="95">
                  <c:v>57.217236999999997</c:v>
                </c:pt>
                <c:pt idx="96">
                  <c:v>114.46456499999999</c:v>
                </c:pt>
                <c:pt idx="97">
                  <c:v>186.23767900000001</c:v>
                </c:pt>
                <c:pt idx="98">
                  <c:v>250.76080099999999</c:v>
                </c:pt>
                <c:pt idx="99">
                  <c:v>314.18382400000002</c:v>
                </c:pt>
                <c:pt idx="100">
                  <c:v>297.08240699999999</c:v>
                </c:pt>
                <c:pt idx="101">
                  <c:v>887.64836400000002</c:v>
                </c:pt>
                <c:pt idx="102">
                  <c:v>260.38079399999998</c:v>
                </c:pt>
                <c:pt idx="103">
                  <c:v>73.234262000000001</c:v>
                </c:pt>
                <c:pt idx="104">
                  <c:v>1102.902885</c:v>
                </c:pt>
                <c:pt idx="105">
                  <c:v>135.29284899999999</c:v>
                </c:pt>
                <c:pt idx="106">
                  <c:v>299.44453499999997</c:v>
                </c:pt>
                <c:pt idx="107">
                  <c:v>83.614422000000005</c:v>
                </c:pt>
                <c:pt idx="108">
                  <c:v>483.10897899999998</c:v>
                </c:pt>
                <c:pt idx="109">
                  <c:v>159.41641799999999</c:v>
                </c:pt>
                <c:pt idx="110">
                  <c:v>338.10828400000003</c:v>
                </c:pt>
                <c:pt idx="111">
                  <c:v>219.53760399999999</c:v>
                </c:pt>
                <c:pt idx="112">
                  <c:v>2255.5635480000001</c:v>
                </c:pt>
                <c:pt idx="113">
                  <c:v>199.923148</c:v>
                </c:pt>
                <c:pt idx="114">
                  <c:v>150.762159</c:v>
                </c:pt>
                <c:pt idx="115">
                  <c:v>138.05330799999999</c:v>
                </c:pt>
                <c:pt idx="116">
                  <c:v>170.418171</c:v>
                </c:pt>
                <c:pt idx="117">
                  <c:v>250.00189499999999</c:v>
                </c:pt>
                <c:pt idx="118">
                  <c:v>147.34376700000001</c:v>
                </c:pt>
                <c:pt idx="119">
                  <c:v>331.96474499999999</c:v>
                </c:pt>
                <c:pt idx="120">
                  <c:v>89.217400999999995</c:v>
                </c:pt>
                <c:pt idx="121">
                  <c:v>745.99808800000005</c:v>
                </c:pt>
                <c:pt idx="122">
                  <c:v>351.59977600000002</c:v>
                </c:pt>
                <c:pt idx="123">
                  <c:v>78.312147999999993</c:v>
                </c:pt>
                <c:pt idx="124">
                  <c:v>812.42935299999999</c:v>
                </c:pt>
                <c:pt idx="125">
                  <c:v>723.27098899999999</c:v>
                </c:pt>
                <c:pt idx="126">
                  <c:v>51.278734</c:v>
                </c:pt>
                <c:pt idx="127">
                  <c:v>95.935338999999999</c:v>
                </c:pt>
                <c:pt idx="128">
                  <c:v>236.24679599999999</c:v>
                </c:pt>
                <c:pt idx="129">
                  <c:v>824.52480700000001</c:v>
                </c:pt>
                <c:pt idx="130">
                  <c:v>127.44085800000001</c:v>
                </c:pt>
                <c:pt idx="131">
                  <c:v>57.062635999999998</c:v>
                </c:pt>
                <c:pt idx="132">
                  <c:v>776.924217</c:v>
                </c:pt>
                <c:pt idx="133">
                  <c:v>175.026342</c:v>
                </c:pt>
                <c:pt idx="134">
                  <c:v>150.949862</c:v>
                </c:pt>
                <c:pt idx="135">
                  <c:v>269.95592499999998</c:v>
                </c:pt>
                <c:pt idx="136">
                  <c:v>388.46787</c:v>
                </c:pt>
                <c:pt idx="137">
                  <c:v>304.15717799999999</c:v>
                </c:pt>
                <c:pt idx="138">
                  <c:v>640.85953199999994</c:v>
                </c:pt>
                <c:pt idx="139">
                  <c:v>845.52594899999997</c:v>
                </c:pt>
                <c:pt idx="140">
                  <c:v>163.83456000000001</c:v>
                </c:pt>
                <c:pt idx="141">
                  <c:v>62.317030000000003</c:v>
                </c:pt>
                <c:pt idx="142">
                  <c:v>352.41295300000002</c:v>
                </c:pt>
                <c:pt idx="143">
                  <c:v>605.70900400000005</c:v>
                </c:pt>
                <c:pt idx="144">
                  <c:v>982.02820499999996</c:v>
                </c:pt>
                <c:pt idx="145">
                  <c:v>19.466305999999999</c:v>
                </c:pt>
                <c:pt idx="146">
                  <c:v>2521.8167079999998</c:v>
                </c:pt>
                <c:pt idx="147">
                  <c:v>79.364715000000004</c:v>
                </c:pt>
                <c:pt idx="148">
                  <c:v>851.73596499999996</c:v>
                </c:pt>
                <c:pt idx="149">
                  <c:v>2582.8923239999999</c:v>
                </c:pt>
                <c:pt idx="150">
                  <c:v>2458.4517420000002</c:v>
                </c:pt>
                <c:pt idx="151">
                  <c:v>235.052299</c:v>
                </c:pt>
                <c:pt idx="152">
                  <c:v>1682.138911</c:v>
                </c:pt>
                <c:pt idx="153">
                  <c:v>1214.988697</c:v>
                </c:pt>
                <c:pt idx="154">
                  <c:v>384.99009799999999</c:v>
                </c:pt>
                <c:pt idx="155">
                  <c:v>269.00754999999998</c:v>
                </c:pt>
                <c:pt idx="156">
                  <c:v>507.86874799999998</c:v>
                </c:pt>
                <c:pt idx="157">
                  <c:v>40.627958</c:v>
                </c:pt>
                <c:pt idx="158">
                  <c:v>70.076610000000002</c:v>
                </c:pt>
                <c:pt idx="159">
                  <c:v>128.09689299999999</c:v>
                </c:pt>
                <c:pt idx="160">
                  <c:v>38.874654</c:v>
                </c:pt>
                <c:pt idx="161">
                  <c:v>142.18662399999999</c:v>
                </c:pt>
                <c:pt idx="162">
                  <c:v>73.104416999999998</c:v>
                </c:pt>
                <c:pt idx="163">
                  <c:v>132.30734799999999</c:v>
                </c:pt>
                <c:pt idx="164">
                  <c:v>3254.7265109999998</c:v>
                </c:pt>
                <c:pt idx="165">
                  <c:v>183.451583</c:v>
                </c:pt>
                <c:pt idx="166">
                  <c:v>70.436952000000005</c:v>
                </c:pt>
                <c:pt idx="167">
                  <c:v>144.24361200000001</c:v>
                </c:pt>
                <c:pt idx="168">
                  <c:v>412.208752</c:v>
                </c:pt>
                <c:pt idx="169">
                  <c:v>775.55468699999994</c:v>
                </c:pt>
                <c:pt idx="170">
                  <c:v>67.956180000000003</c:v>
                </c:pt>
                <c:pt idx="171">
                  <c:v>3273.3736869999998</c:v>
                </c:pt>
                <c:pt idx="172">
                  <c:v>127.45848599999999</c:v>
                </c:pt>
                <c:pt idx="173">
                  <c:v>126.922051</c:v>
                </c:pt>
                <c:pt idx="174">
                  <c:v>52.331719999999997</c:v>
                </c:pt>
                <c:pt idx="175">
                  <c:v>580.46432400000003</c:v>
                </c:pt>
                <c:pt idx="176">
                  <c:v>852.01699399999995</c:v>
                </c:pt>
                <c:pt idx="177">
                  <c:v>12577.334261</c:v>
                </c:pt>
                <c:pt idx="178">
                  <c:v>551.20363499999996</c:v>
                </c:pt>
                <c:pt idx="179">
                  <c:v>782.84445300000004</c:v>
                </c:pt>
                <c:pt idx="180">
                  <c:v>604.33930899999996</c:v>
                </c:pt>
                <c:pt idx="181">
                  <c:v>6386.3864670000003</c:v>
                </c:pt>
                <c:pt idx="182">
                  <c:v>584.03621299999998</c:v>
                </c:pt>
                <c:pt idx="183">
                  <c:v>564.378649</c:v>
                </c:pt>
                <c:pt idx="184">
                  <c:v>440.50133099999999</c:v>
                </c:pt>
                <c:pt idx="185">
                  <c:v>7371.5088850000002</c:v>
                </c:pt>
                <c:pt idx="186">
                  <c:v>4416.4160339999999</c:v>
                </c:pt>
                <c:pt idx="187">
                  <c:v>378.81065000000001</c:v>
                </c:pt>
                <c:pt idx="188">
                  <c:v>2292.951016</c:v>
                </c:pt>
                <c:pt idx="189">
                  <c:v>1252.4759409999999</c:v>
                </c:pt>
                <c:pt idx="190">
                  <c:v>308.46159299999999</c:v>
                </c:pt>
                <c:pt idx="191">
                  <c:v>48.255763000000002</c:v>
                </c:pt>
                <c:pt idx="192">
                  <c:v>84.082413000000003</c:v>
                </c:pt>
                <c:pt idx="193">
                  <c:v>51.872732999999997</c:v>
                </c:pt>
                <c:pt idx="194">
                  <c:v>221.38628600000001</c:v>
                </c:pt>
                <c:pt idx="195">
                  <c:v>52.413429000000001</c:v>
                </c:pt>
                <c:pt idx="196">
                  <c:v>1687.5337709999999</c:v>
                </c:pt>
                <c:pt idx="197">
                  <c:v>1061.971086</c:v>
                </c:pt>
                <c:pt idx="198">
                  <c:v>1615.082134</c:v>
                </c:pt>
                <c:pt idx="199">
                  <c:v>13370.794449000001</c:v>
                </c:pt>
                <c:pt idx="200">
                  <c:v>329.47989200000001</c:v>
                </c:pt>
                <c:pt idx="201">
                  <c:v>5891.3467579999997</c:v>
                </c:pt>
                <c:pt idx="202">
                  <c:v>6172.0908939999999</c:v>
                </c:pt>
                <c:pt idx="203">
                  <c:v>1124.2853009999999</c:v>
                </c:pt>
                <c:pt idx="204">
                  <c:v>859.33249499999999</c:v>
                </c:pt>
                <c:pt idx="205">
                  <c:v>2817.8510179999998</c:v>
                </c:pt>
                <c:pt idx="206">
                  <c:v>734.16699700000004</c:v>
                </c:pt>
                <c:pt idx="207">
                  <c:v>3942.001898</c:v>
                </c:pt>
                <c:pt idx="208">
                  <c:v>268.18898300000001</c:v>
                </c:pt>
                <c:pt idx="209">
                  <c:v>2264.1550029999999</c:v>
                </c:pt>
                <c:pt idx="210">
                  <c:v>1842.5616319999999</c:v>
                </c:pt>
                <c:pt idx="211">
                  <c:v>531.05601200000001</c:v>
                </c:pt>
                <c:pt idx="212">
                  <c:v>713.55105700000001</c:v>
                </c:pt>
                <c:pt idx="213">
                  <c:v>3656.2826380000001</c:v>
                </c:pt>
                <c:pt idx="214">
                  <c:v>220.93643800000001</c:v>
                </c:pt>
                <c:pt idx="215">
                  <c:v>2875.5888639999998</c:v>
                </c:pt>
                <c:pt idx="216">
                  <c:v>11.594091000000001</c:v>
                </c:pt>
                <c:pt idx="217">
                  <c:v>75.238365000000002</c:v>
                </c:pt>
                <c:pt idx="218">
                  <c:v>110.526792</c:v>
                </c:pt>
                <c:pt idx="219">
                  <c:v>695.17204100000004</c:v>
                </c:pt>
                <c:pt idx="220">
                  <c:v>410.09751599999998</c:v>
                </c:pt>
                <c:pt idx="221">
                  <c:v>156.853557</c:v>
                </c:pt>
                <c:pt idx="222">
                  <c:v>28.504201999999999</c:v>
                </c:pt>
                <c:pt idx="223">
                  <c:v>151.98265900000001</c:v>
                </c:pt>
                <c:pt idx="224">
                  <c:v>117.630027</c:v>
                </c:pt>
                <c:pt idx="225">
                  <c:v>352.25046600000002</c:v>
                </c:pt>
                <c:pt idx="226">
                  <c:v>192.19663</c:v>
                </c:pt>
                <c:pt idx="227">
                  <c:v>880.49303499999996</c:v>
                </c:pt>
                <c:pt idx="228">
                  <c:v>242.772458</c:v>
                </c:pt>
                <c:pt idx="229">
                  <c:v>159.262551</c:v>
                </c:pt>
                <c:pt idx="230">
                  <c:v>5692.6537900000003</c:v>
                </c:pt>
                <c:pt idx="231">
                  <c:v>1033.3389870000001</c:v>
                </c:pt>
                <c:pt idx="232">
                  <c:v>5089.0950759999996</c:v>
                </c:pt>
                <c:pt idx="233">
                  <c:v>2638.9249709999999</c:v>
                </c:pt>
                <c:pt idx="234">
                  <c:v>433.17568899999998</c:v>
                </c:pt>
                <c:pt idx="235">
                  <c:v>1427.125716</c:v>
                </c:pt>
                <c:pt idx="236">
                  <c:v>620.46843000000001</c:v>
                </c:pt>
                <c:pt idx="237">
                  <c:v>91.357116000000005</c:v>
                </c:pt>
                <c:pt idx="238">
                  <c:v>79.815268000000003</c:v>
                </c:pt>
                <c:pt idx="239">
                  <c:v>226.507024</c:v>
                </c:pt>
                <c:pt idx="240">
                  <c:v>5767.7015449999999</c:v>
                </c:pt>
                <c:pt idx="241">
                  <c:v>70.675389999999993</c:v>
                </c:pt>
                <c:pt idx="242">
                  <c:v>170.48939100000001</c:v>
                </c:pt>
                <c:pt idx="243">
                  <c:v>556.45784100000003</c:v>
                </c:pt>
                <c:pt idx="244">
                  <c:v>548.76280099999997</c:v>
                </c:pt>
              </c:numCache>
            </c:numRef>
          </c:xVal>
          <c:yVal>
            <c:numRef>
              <c:f>'Totalvolume-Table 1'!$G$4:$G$248</c:f>
              <c:numCache>
                <c:formatCode>General</c:formatCode>
                <c:ptCount val="245"/>
                <c:pt idx="0">
                  <c:v>264.22322811103328</c:v>
                </c:pt>
                <c:pt idx="1">
                  <c:v>164.0193566765011</c:v>
                </c:pt>
                <c:pt idx="2">
                  <c:v>150.99405402248058</c:v>
                </c:pt>
                <c:pt idx="3">
                  <c:v>239.81185775256674</c:v>
                </c:pt>
                <c:pt idx="4">
                  <c:v>1041.5857307687588</c:v>
                </c:pt>
                <c:pt idx="5">
                  <c:v>639.96243434386304</c:v>
                </c:pt>
                <c:pt idx="6">
                  <c:v>383.0453166525981</c:v>
                </c:pt>
                <c:pt idx="7">
                  <c:v>348.5794582308198</c:v>
                </c:pt>
                <c:pt idx="8">
                  <c:v>254.71859514428996</c:v>
                </c:pt>
                <c:pt idx="9">
                  <c:v>1312.6056789094928</c:v>
                </c:pt>
                <c:pt idx="10">
                  <c:v>100.17877064727563</c:v>
                </c:pt>
                <c:pt idx="11">
                  <c:v>120.51463708528516</c:v>
                </c:pt>
                <c:pt idx="12">
                  <c:v>149.12252069495415</c:v>
                </c:pt>
                <c:pt idx="13">
                  <c:v>161.04903856209202</c:v>
                </c:pt>
                <c:pt idx="14">
                  <c:v>470.75450760345501</c:v>
                </c:pt>
                <c:pt idx="15">
                  <c:v>298.82988611239819</c:v>
                </c:pt>
                <c:pt idx="16">
                  <c:v>296.89188859788368</c:v>
                </c:pt>
                <c:pt idx="17">
                  <c:v>94.008424087055332</c:v>
                </c:pt>
                <c:pt idx="18">
                  <c:v>2609.1697235085021</c:v>
                </c:pt>
                <c:pt idx="19">
                  <c:v>2451.7383886642679</c:v>
                </c:pt>
                <c:pt idx="20">
                  <c:v>897.31414656062225</c:v>
                </c:pt>
                <c:pt idx="21">
                  <c:v>35.597856149483256</c:v>
                </c:pt>
                <c:pt idx="22">
                  <c:v>46.848104374582448</c:v>
                </c:pt>
                <c:pt idx="23">
                  <c:v>291.16303357367599</c:v>
                </c:pt>
                <c:pt idx="24">
                  <c:v>3472.5447342589173</c:v>
                </c:pt>
                <c:pt idx="25">
                  <c:v>3732.1810660590149</c:v>
                </c:pt>
                <c:pt idx="26">
                  <c:v>2603.6999839744271</c:v>
                </c:pt>
                <c:pt idx="27">
                  <c:v>1076.1248752984095</c:v>
                </c:pt>
                <c:pt idx="28">
                  <c:v>1051.7961650969282</c:v>
                </c:pt>
                <c:pt idx="29">
                  <c:v>3871.9140444199747</c:v>
                </c:pt>
                <c:pt idx="30">
                  <c:v>2860.3740066608057</c:v>
                </c:pt>
                <c:pt idx="31">
                  <c:v>836.51554800133158</c:v>
                </c:pt>
                <c:pt idx="32">
                  <c:v>498.52745850611933</c:v>
                </c:pt>
                <c:pt idx="33">
                  <c:v>705.56380990572382</c:v>
                </c:pt>
                <c:pt idx="34">
                  <c:v>174.53987113853123</c:v>
                </c:pt>
                <c:pt idx="35">
                  <c:v>246.74333036983742</c:v>
                </c:pt>
                <c:pt idx="36">
                  <c:v>3536.6357046303597</c:v>
                </c:pt>
                <c:pt idx="37">
                  <c:v>1931.9549915311927</c:v>
                </c:pt>
                <c:pt idx="38">
                  <c:v>3620.4426024341114</c:v>
                </c:pt>
                <c:pt idx="39">
                  <c:v>2394.7972290015177</c:v>
                </c:pt>
                <c:pt idx="40">
                  <c:v>221.7397639372962</c:v>
                </c:pt>
                <c:pt idx="41">
                  <c:v>882.97117193292263</c:v>
                </c:pt>
                <c:pt idx="42">
                  <c:v>364.64843730451855</c:v>
                </c:pt>
                <c:pt idx="43">
                  <c:v>4731.3824415329645</c:v>
                </c:pt>
                <c:pt idx="44">
                  <c:v>122.88863180525033</c:v>
                </c:pt>
                <c:pt idx="45">
                  <c:v>196.86354884821031</c:v>
                </c:pt>
                <c:pt idx="46">
                  <c:v>57.692974034965204</c:v>
                </c:pt>
                <c:pt idx="47">
                  <c:v>265.89176725898216</c:v>
                </c:pt>
                <c:pt idx="48">
                  <c:v>274.59155394999743</c:v>
                </c:pt>
                <c:pt idx="49">
                  <c:v>421.92792760133358</c:v>
                </c:pt>
                <c:pt idx="50">
                  <c:v>1544.0569045912519</c:v>
                </c:pt>
                <c:pt idx="51">
                  <c:v>745.10856189128901</c:v>
                </c:pt>
                <c:pt idx="52">
                  <c:v>27536.355168121405</c:v>
                </c:pt>
                <c:pt idx="53">
                  <c:v>1465.3307823466482</c:v>
                </c:pt>
                <c:pt idx="54">
                  <c:v>1791.3696371629921</c:v>
                </c:pt>
                <c:pt idx="55">
                  <c:v>1319.3385853844907</c:v>
                </c:pt>
                <c:pt idx="56">
                  <c:v>551.80474479237034</c:v>
                </c:pt>
                <c:pt idx="57">
                  <c:v>68.147364526777096</c:v>
                </c:pt>
                <c:pt idx="58">
                  <c:v>4542.8660152790635</c:v>
                </c:pt>
                <c:pt idx="59">
                  <c:v>264.03392632602993</c:v>
                </c:pt>
                <c:pt idx="60">
                  <c:v>429.83314261139355</c:v>
                </c:pt>
                <c:pt idx="61">
                  <c:v>1844.6937996419024</c:v>
                </c:pt>
                <c:pt idx="62">
                  <c:v>378.90071166557726</c:v>
                </c:pt>
                <c:pt idx="63">
                  <c:v>1356.4095073831284</c:v>
                </c:pt>
                <c:pt idx="64">
                  <c:v>582.98746962990822</c:v>
                </c:pt>
                <c:pt idx="65">
                  <c:v>617.05677895196584</c:v>
                </c:pt>
                <c:pt idx="66">
                  <c:v>860.52762601657957</c:v>
                </c:pt>
                <c:pt idx="67">
                  <c:v>324.07156079538953</c:v>
                </c:pt>
                <c:pt idx="68">
                  <c:v>961.20716751609837</c:v>
                </c:pt>
                <c:pt idx="69">
                  <c:v>6148.765190019878</c:v>
                </c:pt>
                <c:pt idx="70">
                  <c:v>4085.0299045799384</c:v>
                </c:pt>
                <c:pt idx="71">
                  <c:v>1109.6745008670675</c:v>
                </c:pt>
                <c:pt idx="72">
                  <c:v>493.08567201332704</c:v>
                </c:pt>
                <c:pt idx="73">
                  <c:v>181.10116028692721</c:v>
                </c:pt>
                <c:pt idx="74">
                  <c:v>59.424719487580461</c:v>
                </c:pt>
                <c:pt idx="75">
                  <c:v>71.447446605836944</c:v>
                </c:pt>
                <c:pt idx="76">
                  <c:v>205.12630617472547</c:v>
                </c:pt>
                <c:pt idx="77">
                  <c:v>240.39047608647078</c:v>
                </c:pt>
                <c:pt idx="78">
                  <c:v>936.73374927074053</c:v>
                </c:pt>
                <c:pt idx="79">
                  <c:v>346.27566868168304</c:v>
                </c:pt>
                <c:pt idx="80">
                  <c:v>1294.5536304873099</c:v>
                </c:pt>
                <c:pt idx="81">
                  <c:v>328.8317099359985</c:v>
                </c:pt>
                <c:pt idx="82">
                  <c:v>192.52633035415786</c:v>
                </c:pt>
                <c:pt idx="83">
                  <c:v>45.785043918508649</c:v>
                </c:pt>
                <c:pt idx="84">
                  <c:v>59.875029430226391</c:v>
                </c:pt>
                <c:pt idx="85">
                  <c:v>18677.720263539071</c:v>
                </c:pt>
                <c:pt idx="86">
                  <c:v>2058.3722096171095</c:v>
                </c:pt>
                <c:pt idx="87">
                  <c:v>1611.4732681841006</c:v>
                </c:pt>
                <c:pt idx="88">
                  <c:v>273.75443268715924</c:v>
                </c:pt>
                <c:pt idx="89">
                  <c:v>1874.6996708821605</c:v>
                </c:pt>
                <c:pt idx="90">
                  <c:v>379.66371066008998</c:v>
                </c:pt>
                <c:pt idx="91">
                  <c:v>1354.7354323049126</c:v>
                </c:pt>
                <c:pt idx="92">
                  <c:v>218.73611663454369</c:v>
                </c:pt>
                <c:pt idx="93">
                  <c:v>119.14233332590044</c:v>
                </c:pt>
                <c:pt idx="94">
                  <c:v>294.57618026070918</c:v>
                </c:pt>
                <c:pt idx="95">
                  <c:v>110.44321989312014</c:v>
                </c:pt>
                <c:pt idx="96">
                  <c:v>251.01158667968099</c:v>
                </c:pt>
                <c:pt idx="97">
                  <c:v>446.67043875468505</c:v>
                </c:pt>
                <c:pt idx="98">
                  <c:v>635.25874910586617</c:v>
                </c:pt>
                <c:pt idx="99">
                  <c:v>829.64609953605895</c:v>
                </c:pt>
                <c:pt idx="100">
                  <c:v>776.45004805181247</c:v>
                </c:pt>
                <c:pt idx="101">
                  <c:v>2837.5565435547364</c:v>
                </c:pt>
                <c:pt idx="102">
                  <c:v>664.21430492185959</c:v>
                </c:pt>
                <c:pt idx="103">
                  <c:v>147.92751908988444</c:v>
                </c:pt>
                <c:pt idx="104">
                  <c:v>3669.3687863902564</c:v>
                </c:pt>
                <c:pt idx="105">
                  <c:v>305.95435866080823</c:v>
                </c:pt>
                <c:pt idx="106">
                  <c:v>783.76495158948057</c:v>
                </c:pt>
                <c:pt idx="107">
                  <c:v>173.06456800337028</c:v>
                </c:pt>
                <c:pt idx="108">
                  <c:v>1380.8186390711255</c:v>
                </c:pt>
                <c:pt idx="109">
                  <c:v>371.55777921718732</c:v>
                </c:pt>
                <c:pt idx="110">
                  <c:v>904.95985161313217</c:v>
                </c:pt>
                <c:pt idx="111">
                  <c:v>542.71745879317791</c:v>
                </c:pt>
                <c:pt idx="112">
                  <c:v>8560.1471657645016</c:v>
                </c:pt>
                <c:pt idx="113">
                  <c:v>485.79061450063227</c:v>
                </c:pt>
                <c:pt idx="114">
                  <c:v>347.7966316170066</c:v>
                </c:pt>
                <c:pt idx="115">
                  <c:v>313.35935408020339</c:v>
                </c:pt>
                <c:pt idx="116">
                  <c:v>402.10739202761164</c:v>
                </c:pt>
                <c:pt idx="117">
                  <c:v>632.98307714611383</c:v>
                </c:pt>
                <c:pt idx="118">
                  <c:v>338.47924662038497</c:v>
                </c:pt>
                <c:pt idx="119">
                  <c:v>885.5235516105588</c:v>
                </c:pt>
                <c:pt idx="120">
                  <c:v>186.87857740090936</c:v>
                </c:pt>
                <c:pt idx="121">
                  <c:v>2309.663361694269</c:v>
                </c:pt>
                <c:pt idx="122">
                  <c:v>947.86996392770675</c:v>
                </c:pt>
                <c:pt idx="123">
                  <c:v>160.1477821821764</c:v>
                </c:pt>
                <c:pt idx="124">
                  <c:v>2555.1322816687934</c:v>
                </c:pt>
                <c:pt idx="125">
                  <c:v>2226.5870008460574</c:v>
                </c:pt>
                <c:pt idx="126">
                  <c:v>97.004747167853068</c:v>
                </c:pt>
                <c:pt idx="127">
                  <c:v>203.65257745708084</c:v>
                </c:pt>
                <c:pt idx="128">
                  <c:v>591.96017411586251</c:v>
                </c:pt>
                <c:pt idx="129">
                  <c:v>2600.2340650345636</c:v>
                </c:pt>
                <c:pt idx="130">
                  <c:v>285.04453334312632</c:v>
                </c:pt>
                <c:pt idx="131">
                  <c:v>110.0899813156082</c:v>
                </c:pt>
                <c:pt idx="132">
                  <c:v>2423.4583671636956</c:v>
                </c:pt>
                <c:pt idx="133">
                  <c:v>415.01297638712475</c:v>
                </c:pt>
                <c:pt idx="134">
                  <c:v>348.30938161243625</c:v>
                </c:pt>
                <c:pt idx="135">
                  <c:v>693.23101084597829</c:v>
                </c:pt>
                <c:pt idx="136">
                  <c:v>1066.6542665988568</c:v>
                </c:pt>
                <c:pt idx="137">
                  <c:v>798.39047370769379</c:v>
                </c:pt>
                <c:pt idx="138">
                  <c:v>1929.4540652794424</c:v>
                </c:pt>
                <c:pt idx="139">
                  <c:v>2678.8323132527048</c:v>
                </c:pt>
                <c:pt idx="140">
                  <c:v>383.78090796433349</c:v>
                </c:pt>
                <c:pt idx="141">
                  <c:v>122.19167542885185</c:v>
                </c:pt>
                <c:pt idx="142">
                  <c:v>950.46611105354077</c:v>
                </c:pt>
                <c:pt idx="143">
                  <c:v>1804.7948473003462</c:v>
                </c:pt>
                <c:pt idx="144">
                  <c:v>3198.1733620049099</c:v>
                </c:pt>
                <c:pt idx="145">
                  <c:v>30.813352326264337</c:v>
                </c:pt>
                <c:pt idx="146">
                  <c:v>9769.1333176565859</c:v>
                </c:pt>
                <c:pt idx="147">
                  <c:v>162.69947262399654</c:v>
                </c:pt>
                <c:pt idx="148">
                  <c:v>2702.1430381740465</c:v>
                </c:pt>
                <c:pt idx="149">
                  <c:v>10049.885006389733</c:v>
                </c:pt>
                <c:pt idx="150">
                  <c:v>9479.1778063928305</c:v>
                </c:pt>
                <c:pt idx="151">
                  <c:v>588.41807276535462</c:v>
                </c:pt>
                <c:pt idx="152">
                  <c:v>6048.4997913991192</c:v>
                </c:pt>
                <c:pt idx="153">
                  <c:v>4114.9139786745254</c:v>
                </c:pt>
                <c:pt idx="154">
                  <c:v>1055.3572788575898</c:v>
                </c:pt>
                <c:pt idx="155">
                  <c:v>690.34846385727963</c:v>
                </c:pt>
                <c:pt idx="156">
                  <c:v>1464.9978739470912</c:v>
                </c:pt>
                <c:pt idx="157">
                  <c:v>73.633598516235381</c:v>
                </c:pt>
                <c:pt idx="158">
                  <c:v>140.40603112998824</c:v>
                </c:pt>
                <c:pt idx="159">
                  <c:v>286.78268667563117</c:v>
                </c:pt>
                <c:pt idx="160">
                  <c:v>69.886358346449668</c:v>
                </c:pt>
                <c:pt idx="161">
                  <c:v>324.49796882005541</c:v>
                </c:pt>
                <c:pt idx="162">
                  <c:v>147.61703402334103</c:v>
                </c:pt>
                <c:pt idx="163">
                  <c:v>297.97693263544892</c:v>
                </c:pt>
                <c:pt idx="164">
                  <c:v>13214.307266264121</c:v>
                </c:pt>
                <c:pt idx="165">
                  <c:v>438.76971545937965</c:v>
                </c:pt>
                <c:pt idx="166">
                  <c:v>141.26126400058891</c:v>
                </c:pt>
                <c:pt idx="167">
                  <c:v>330.06357000171852</c:v>
                </c:pt>
                <c:pt idx="168">
                  <c:v>1144.2633978870815</c:v>
                </c:pt>
                <c:pt idx="169">
                  <c:v>2418.401172321845</c:v>
                </c:pt>
                <c:pt idx="170">
                  <c:v>135.38991564315114</c:v>
                </c:pt>
                <c:pt idx="171">
                  <c:v>13303.992959435605</c:v>
                </c:pt>
                <c:pt idx="172">
                  <c:v>285.09121693895196</c:v>
                </c:pt>
                <c:pt idx="173">
                  <c:v>283.67112812670729</c:v>
                </c:pt>
                <c:pt idx="174">
                  <c:v>99.367646106293691</c:v>
                </c:pt>
                <c:pt idx="175">
                  <c:v>1716.0797318961809</c:v>
                </c:pt>
                <c:pt idx="176">
                  <c:v>2703.1986867614823</c:v>
                </c:pt>
                <c:pt idx="177">
                  <c:v>65484.744502568086</c:v>
                </c:pt>
                <c:pt idx="178">
                  <c:v>1614.1382375658802</c:v>
                </c:pt>
                <c:pt idx="179">
                  <c:v>2445.3385704620578</c:v>
                </c:pt>
                <c:pt idx="180">
                  <c:v>1799.9637145666466</c:v>
                </c:pt>
                <c:pt idx="181">
                  <c:v>29352.789722541904</c:v>
                </c:pt>
                <c:pt idx="182">
                  <c:v>1728.5897221145883</c:v>
                </c:pt>
                <c:pt idx="183">
                  <c:v>1659.9186056404926</c:v>
                </c:pt>
                <c:pt idx="184">
                  <c:v>1237.8292638379514</c:v>
                </c:pt>
                <c:pt idx="185">
                  <c:v>34786.761612468086</c:v>
                </c:pt>
                <c:pt idx="186">
                  <c:v>18966.626206524597</c:v>
                </c:pt>
                <c:pt idx="187">
                  <c:v>1035.3307020879686</c:v>
                </c:pt>
                <c:pt idx="188">
                  <c:v>8728.4001357435354</c:v>
                </c:pt>
                <c:pt idx="189">
                  <c:v>4265.6595601689369</c:v>
                </c:pt>
                <c:pt idx="190">
                  <c:v>811.78557584079147</c:v>
                </c:pt>
                <c:pt idx="191">
                  <c:v>90.27125257525455</c:v>
                </c:pt>
                <c:pt idx="192">
                  <c:v>174.21203289473127</c:v>
                </c:pt>
                <c:pt idx="193">
                  <c:v>98.336593880883967</c:v>
                </c:pt>
                <c:pt idx="194">
                  <c:v>548.13265683592306</c:v>
                </c:pt>
                <c:pt idx="195">
                  <c:v>99.551369282287084</c:v>
                </c:pt>
                <c:pt idx="196">
                  <c:v>6071.4742722003066</c:v>
                </c:pt>
                <c:pt idx="197">
                  <c:v>3508.6872544040048</c:v>
                </c:pt>
                <c:pt idx="198">
                  <c:v>5764.0753993791222</c:v>
                </c:pt>
                <c:pt idx="199">
                  <c:v>70404.005926190366</c:v>
                </c:pt>
                <c:pt idx="200">
                  <c:v>877.68093893933485</c:v>
                </c:pt>
                <c:pt idx="201">
                  <c:v>26678.493424757322</c:v>
                </c:pt>
                <c:pt idx="202">
                  <c:v>28190.260563649117</c:v>
                </c:pt>
                <c:pt idx="203">
                  <c:v>3753.7474144218013</c:v>
                </c:pt>
                <c:pt idx="204">
                  <c:v>2730.7008979392162</c:v>
                </c:pt>
                <c:pt idx="205">
                  <c:v>11141.153974593391</c:v>
                </c:pt>
                <c:pt idx="206">
                  <c:v>2266.3571112026211</c:v>
                </c:pt>
                <c:pt idx="207">
                  <c:v>16578.909350782982</c:v>
                </c:pt>
                <c:pt idx="208">
                  <c:v>687.8619657632579</c:v>
                </c:pt>
                <c:pt idx="209">
                  <c:v>8598.7657715724035</c:v>
                </c:pt>
                <c:pt idx="210">
                  <c:v>6737.3158399486738</c:v>
                </c:pt>
                <c:pt idx="211">
                  <c:v>1544.5194503783268</c:v>
                </c:pt>
                <c:pt idx="212">
                  <c:v>2191.2024006714214</c:v>
                </c:pt>
                <c:pt idx="213">
                  <c:v>15165.834327686358</c:v>
                </c:pt>
                <c:pt idx="214">
                  <c:v>546.81418389997077</c:v>
                </c:pt>
                <c:pt idx="215">
                  <c:v>11411.947219654254</c:v>
                </c:pt>
                <c:pt idx="216">
                  <c:v>16.683358790000646</c:v>
                </c:pt>
                <c:pt idx="217">
                  <c:v>152.73248608350065</c:v>
                </c:pt>
                <c:pt idx="218">
                  <c:v>240.82015316168156</c:v>
                </c:pt>
                <c:pt idx="219">
                  <c:v>2124.5380370958032</c:v>
                </c:pt>
                <c:pt idx="220">
                  <c:v>1137.3276658124455</c:v>
                </c:pt>
                <c:pt idx="221">
                  <c:v>364.49583279004213</c:v>
                </c:pt>
                <c:pt idx="222">
                  <c:v>48.39933044032221</c:v>
                </c:pt>
                <c:pt idx="223">
                  <c:v>351.13277830344981</c:v>
                </c:pt>
                <c:pt idx="224">
                  <c:v>259.25120057153629</c:v>
                </c:pt>
                <c:pt idx="225">
                  <c:v>949.94726720504195</c:v>
                </c:pt>
                <c:pt idx="226">
                  <c:v>463.64141347373055</c:v>
                </c:pt>
                <c:pt idx="227">
                  <c:v>2810.4944138937035</c:v>
                </c:pt>
                <c:pt idx="228">
                  <c:v>611.36889522560909</c:v>
                </c:pt>
                <c:pt idx="229">
                  <c:v>371.1332066551368</c:v>
                </c:pt>
                <c:pt idx="230">
                  <c:v>25616.507670983381</c:v>
                </c:pt>
                <c:pt idx="231">
                  <c:v>3396.9622811181735</c:v>
                </c:pt>
                <c:pt idx="232">
                  <c:v>22433.118982773194</c:v>
                </c:pt>
                <c:pt idx="233">
                  <c:v>10308.532628473309</c:v>
                </c:pt>
                <c:pt idx="234">
                  <c:v>1213.4936161421617</c:v>
                </c:pt>
                <c:pt idx="235">
                  <c:v>4978.6375917867472</c:v>
                </c:pt>
                <c:pt idx="236">
                  <c:v>1856.9804998644668</c:v>
                </c:pt>
                <c:pt idx="237">
                  <c:v>192.19682568605165</c:v>
                </c:pt>
                <c:pt idx="238">
                  <c:v>163.79363729714686</c:v>
                </c:pt>
                <c:pt idx="239">
                  <c:v>563.17573360327071</c:v>
                </c:pt>
                <c:pt idx="240">
                  <c:v>26016.838559999622</c:v>
                </c:pt>
                <c:pt idx="241">
                  <c:v>141.8276138818693</c:v>
                </c:pt>
                <c:pt idx="242">
                  <c:v>402.30636611626414</c:v>
                </c:pt>
                <c:pt idx="243">
                  <c:v>1632.3716167402094</c:v>
                </c:pt>
                <c:pt idx="244">
                  <c:v>1605.6788013336798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90625120"/>
        <c:axId val="-790627296"/>
      </c:scatterChart>
      <c:valAx>
        <c:axId val="-79062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0627296"/>
        <c:crosses val="autoZero"/>
        <c:crossBetween val="midCat"/>
      </c:valAx>
      <c:valAx>
        <c:axId val="-79062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90625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Fig.5!$C$1</c:f>
              <c:strCache>
                <c:ptCount val="1"/>
                <c:pt idx="0">
                  <c:v>ave headcut depth (m)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val>
            <c:numRef>
              <c:f>Fig.5!$C$2:$C$14</c:f>
              <c:numCache>
                <c:formatCode>0.00</c:formatCode>
                <c:ptCount val="13"/>
                <c:pt idx="0">
                  <c:v>3.9233333333333333</c:v>
                </c:pt>
                <c:pt idx="1">
                  <c:v>2.2333333333333334</c:v>
                </c:pt>
                <c:pt idx="2">
                  <c:v>1.3833333333333335</c:v>
                </c:pt>
                <c:pt idx="3">
                  <c:v>2.0249999999999999</c:v>
                </c:pt>
                <c:pt idx="4">
                  <c:v>4.7449999999999992</c:v>
                </c:pt>
                <c:pt idx="5">
                  <c:v>4.5666666666666664</c:v>
                </c:pt>
                <c:pt idx="6">
                  <c:v>1.4333333333333333</c:v>
                </c:pt>
                <c:pt idx="7">
                  <c:v>3.2888888888888888</c:v>
                </c:pt>
                <c:pt idx="8">
                  <c:v>3.4</c:v>
                </c:pt>
                <c:pt idx="9">
                  <c:v>2.5333333333333332</c:v>
                </c:pt>
                <c:pt idx="10">
                  <c:v>4.2249999999999996</c:v>
                </c:pt>
                <c:pt idx="11">
                  <c:v>1.9</c:v>
                </c:pt>
                <c:pt idx="12">
                  <c:v>1.2999999999999998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88530848"/>
        <c:axId val="-788528128"/>
      </c:barChart>
      <c:lineChart>
        <c:grouping val="standard"/>
        <c:varyColors val="0"/>
        <c:ser>
          <c:idx val="0"/>
          <c:order val="0"/>
          <c:tx>
            <c:strRef>
              <c:f>Fig.5!$B$1</c:f>
              <c:strCache>
                <c:ptCount val="1"/>
                <c:pt idx="0">
                  <c:v>Min. water table depth (m)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Fig.5!$B$2:$B$14</c:f>
              <c:numCache>
                <c:formatCode>0.00</c:formatCode>
                <c:ptCount val="13"/>
                <c:pt idx="0">
                  <c:v>1.5</c:v>
                </c:pt>
                <c:pt idx="1">
                  <c:v>1.22</c:v>
                </c:pt>
                <c:pt idx="2">
                  <c:v>0.02</c:v>
                </c:pt>
                <c:pt idx="3">
                  <c:v>0.59</c:v>
                </c:pt>
                <c:pt idx="4">
                  <c:v>0.05</c:v>
                </c:pt>
                <c:pt idx="5">
                  <c:v>7.4999999999999997E-2</c:v>
                </c:pt>
                <c:pt idx="6">
                  <c:v>1.36</c:v>
                </c:pt>
                <c:pt idx="7">
                  <c:v>6.5000000000000002E-2</c:v>
                </c:pt>
                <c:pt idx="8">
                  <c:v>1.2</c:v>
                </c:pt>
                <c:pt idx="9">
                  <c:v>1.44</c:v>
                </c:pt>
                <c:pt idx="10">
                  <c:v>0.45</c:v>
                </c:pt>
                <c:pt idx="11">
                  <c:v>1.38</c:v>
                </c:pt>
                <c:pt idx="12">
                  <c:v>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88530848"/>
        <c:axId val="-788528128"/>
      </c:lineChart>
      <c:catAx>
        <c:axId val="-788530848"/>
        <c:scaling>
          <c:orientation val="minMax"/>
        </c:scaling>
        <c:delete val="0"/>
        <c:axPos val="t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88528128"/>
        <c:crosses val="autoZero"/>
        <c:auto val="1"/>
        <c:lblAlgn val="ctr"/>
        <c:lblOffset val="100"/>
        <c:noMultiLvlLbl val="0"/>
      </c:catAx>
      <c:valAx>
        <c:axId val="-7885281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8853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285750</xdr:colOff>
      <xdr:row>9</xdr:row>
      <xdr:rowOff>4762</xdr:rowOff>
    </xdr:from>
    <xdr:to>
      <xdr:col>23</xdr:col>
      <xdr:colOff>590550</xdr:colOff>
      <xdr:row>23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166687</xdr:rowOff>
    </xdr:from>
    <xdr:to>
      <xdr:col>17</xdr:col>
      <xdr:colOff>371475</xdr:colOff>
      <xdr:row>19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0</xdr:row>
      <xdr:rowOff>862012</xdr:rowOff>
    </xdr:from>
    <xdr:to>
      <xdr:col>14</xdr:col>
      <xdr:colOff>152400</xdr:colOff>
      <xdr:row>14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opLeftCell="A4" workbookViewId="0">
      <selection activeCell="G1" sqref="G1"/>
    </sheetView>
  </sheetViews>
  <sheetFormatPr defaultRowHeight="15" x14ac:dyDescent="0.25"/>
  <cols>
    <col min="7" max="9" width="9.28515625" bestFit="1" customWidth="1"/>
    <col min="11" max="11" width="12.42578125" bestFit="1" customWidth="1"/>
    <col min="12" max="14" width="9.28515625" bestFit="1" customWidth="1"/>
  </cols>
  <sheetData>
    <row r="1" spans="1:15" ht="17.25" x14ac:dyDescent="0.25">
      <c r="A1" s="65" t="s">
        <v>115</v>
      </c>
      <c r="B1" s="65"/>
      <c r="C1" s="65"/>
      <c r="D1" s="65"/>
      <c r="E1" s="65"/>
      <c r="F1" s="65"/>
      <c r="G1" s="65"/>
      <c r="H1" s="65"/>
      <c r="I1" s="65"/>
      <c r="J1" s="65"/>
      <c r="K1" t="s">
        <v>114</v>
      </c>
      <c r="L1" s="64" t="s">
        <v>37</v>
      </c>
      <c r="M1" s="64" t="s">
        <v>38</v>
      </c>
      <c r="O1" t="s">
        <v>79</v>
      </c>
    </row>
    <row r="2" spans="1:15" x14ac:dyDescent="0.25">
      <c r="L2" s="64">
        <v>0.91600000000000004</v>
      </c>
      <c r="M2" s="64">
        <v>1.1839999999999999</v>
      </c>
    </row>
    <row r="3" spans="1:15" x14ac:dyDescent="0.25">
      <c r="C3" t="s">
        <v>113</v>
      </c>
      <c r="I3" s="66" t="s">
        <v>52</v>
      </c>
      <c r="J3" s="66"/>
      <c r="K3" s="66"/>
      <c r="L3" s="66"/>
      <c r="M3" s="66" t="s">
        <v>51</v>
      </c>
      <c r="N3" s="66"/>
    </row>
    <row r="4" spans="1:15" ht="15.75" thickBot="1" x14ac:dyDescent="0.3">
      <c r="I4" t="s">
        <v>37</v>
      </c>
      <c r="J4" t="s">
        <v>38</v>
      </c>
      <c r="K4" t="s">
        <v>39</v>
      </c>
      <c r="L4" t="s">
        <v>40</v>
      </c>
      <c r="M4" t="s">
        <v>41</v>
      </c>
      <c r="N4" t="s">
        <v>42</v>
      </c>
    </row>
    <row r="5" spans="1:15" ht="17.25" x14ac:dyDescent="0.25">
      <c r="A5" s="50"/>
      <c r="B5" s="51" t="s">
        <v>14</v>
      </c>
      <c r="C5" s="51"/>
      <c r="D5" s="51" t="s">
        <v>15</v>
      </c>
      <c r="E5" s="51" t="s">
        <v>16</v>
      </c>
      <c r="F5" s="51" t="s">
        <v>35</v>
      </c>
      <c r="G5" s="52" t="s">
        <v>0</v>
      </c>
      <c r="H5" t="s">
        <v>57</v>
      </c>
      <c r="I5" t="s">
        <v>43</v>
      </c>
      <c r="J5" t="s">
        <v>44</v>
      </c>
      <c r="K5" t="s">
        <v>45</v>
      </c>
      <c r="L5" t="s">
        <v>46</v>
      </c>
      <c r="M5" t="s">
        <v>47</v>
      </c>
      <c r="N5" t="s">
        <v>50</v>
      </c>
    </row>
    <row r="6" spans="1:15" x14ac:dyDescent="0.25">
      <c r="A6" s="53" t="s">
        <v>1</v>
      </c>
      <c r="B6" s="54"/>
      <c r="C6" s="54" t="s">
        <v>17</v>
      </c>
      <c r="D6" s="54">
        <v>7.8999999999999995</v>
      </c>
      <c r="E6" s="54">
        <v>0.4</v>
      </c>
      <c r="F6" s="54">
        <f>E6*(D6+D7)/2</f>
        <v>3.28</v>
      </c>
      <c r="G6" s="55">
        <v>8.8650000000000002</v>
      </c>
      <c r="H6">
        <f>L$2*F6^M$2</f>
        <v>3.738437329623828</v>
      </c>
      <c r="I6">
        <f>(G6-H6)^2</f>
        <v>26.28164481329447</v>
      </c>
      <c r="K6">
        <f>(G6-G$88)^2</f>
        <v>203338.40817669811</v>
      </c>
      <c r="M6" s="1">
        <f t="shared" ref="M6:M23" si="0">H6-G6</f>
        <v>-5.1265626703761722</v>
      </c>
    </row>
    <row r="7" spans="1:15" x14ac:dyDescent="0.25">
      <c r="A7" s="53"/>
      <c r="B7" s="54"/>
      <c r="C7" s="54" t="s">
        <v>18</v>
      </c>
      <c r="D7" s="54">
        <v>8.5</v>
      </c>
      <c r="E7" s="54">
        <v>1.6</v>
      </c>
      <c r="F7" s="54">
        <f>E7*(D7+D8)/2</f>
        <v>16.8</v>
      </c>
      <c r="G7" s="55">
        <v>47.304000000000009</v>
      </c>
      <c r="H7">
        <f>L$2*F7^M$2</f>
        <v>25.8619735516403</v>
      </c>
      <c r="I7">
        <f>(G7-H7)^2</f>
        <v>459.76049821215724</v>
      </c>
      <c r="K7">
        <f>(G7-G$88)^2</f>
        <v>170149.32204674286</v>
      </c>
      <c r="M7" s="1">
        <f t="shared" si="0"/>
        <v>-21.442026448359709</v>
      </c>
    </row>
    <row r="8" spans="1:15" x14ac:dyDescent="0.25">
      <c r="A8" s="53"/>
      <c r="B8" s="54"/>
      <c r="C8" s="54" t="s">
        <v>19</v>
      </c>
      <c r="D8" s="54">
        <v>12.5</v>
      </c>
      <c r="E8" s="54"/>
      <c r="F8" s="54"/>
      <c r="G8" s="55"/>
      <c r="M8" s="1">
        <f t="shared" si="0"/>
        <v>0</v>
      </c>
    </row>
    <row r="9" spans="1:15" x14ac:dyDescent="0.25">
      <c r="A9" s="53" t="s">
        <v>2</v>
      </c>
      <c r="B9" s="54"/>
      <c r="C9" s="54" t="s">
        <v>19</v>
      </c>
      <c r="D9" s="54">
        <v>3.3</v>
      </c>
      <c r="E9" s="54">
        <v>2.2000000000000002</v>
      </c>
      <c r="F9" s="54">
        <f>E9*(D9+D10)/2</f>
        <v>9.2399999999999984</v>
      </c>
      <c r="G9" s="55">
        <v>17.333250000000003</v>
      </c>
      <c r="H9">
        <f>L$2*F9^M$2</f>
        <v>12.74239570400456</v>
      </c>
      <c r="I9">
        <f>(G9-H9)^2</f>
        <v>21.075943167059819</v>
      </c>
      <c r="K9">
        <f>(G9-G$88)^2</f>
        <v>195772.93328729054</v>
      </c>
      <c r="M9" s="1">
        <f t="shared" si="0"/>
        <v>-4.5908542959954435</v>
      </c>
    </row>
    <row r="10" spans="1:15" x14ac:dyDescent="0.25">
      <c r="A10" s="53"/>
      <c r="B10" s="54"/>
      <c r="C10" s="54" t="s">
        <v>18</v>
      </c>
      <c r="D10" s="54">
        <v>5.0999999999999996</v>
      </c>
      <c r="E10" s="54">
        <v>1.9</v>
      </c>
      <c r="F10" s="54">
        <f>E10*(D10+D11)/2</f>
        <v>11.78</v>
      </c>
      <c r="G10" s="55">
        <v>21.166</v>
      </c>
      <c r="H10">
        <f>L$2*F10^M$2</f>
        <v>16.987579318751628</v>
      </c>
      <c r="I10">
        <f>(G10-H10)^2</f>
        <v>17.459199389484112</v>
      </c>
      <c r="K10">
        <f>(G10-G$88)^2</f>
        <v>192395.92809756595</v>
      </c>
      <c r="M10" s="1">
        <f t="shared" si="0"/>
        <v>-4.1784206812483724</v>
      </c>
    </row>
    <row r="11" spans="1:15" x14ac:dyDescent="0.25">
      <c r="A11" s="53"/>
      <c r="B11" s="54"/>
      <c r="C11" s="54" t="s">
        <v>17</v>
      </c>
      <c r="D11" s="54">
        <v>7.3000000000000007</v>
      </c>
      <c r="E11" s="54"/>
      <c r="F11" s="54"/>
      <c r="G11" s="55"/>
      <c r="M11" s="1">
        <f t="shared" si="0"/>
        <v>0</v>
      </c>
    </row>
    <row r="12" spans="1:15" x14ac:dyDescent="0.25">
      <c r="A12" s="53" t="s">
        <v>3</v>
      </c>
      <c r="B12" s="54"/>
      <c r="C12" s="54" t="s">
        <v>20</v>
      </c>
      <c r="D12" s="54">
        <v>1.2</v>
      </c>
      <c r="E12" s="54">
        <v>15</v>
      </c>
      <c r="F12" s="54">
        <f>E12*(D12+D13)/2</f>
        <v>22.5</v>
      </c>
      <c r="G12" s="55">
        <v>19.3125</v>
      </c>
      <c r="H12">
        <f>L$2*F12^M$2</f>
        <v>36.549343041631339</v>
      </c>
      <c r="I12">
        <f>(G12-H12)^2</f>
        <v>297.10875804183468</v>
      </c>
      <c r="K12">
        <f>(G12-G$88)^2</f>
        <v>194025.36349589578</v>
      </c>
      <c r="M12" s="1">
        <f t="shared" si="0"/>
        <v>17.236843041631339</v>
      </c>
    </row>
    <row r="13" spans="1:15" x14ac:dyDescent="0.25">
      <c r="A13" s="53"/>
      <c r="B13" s="54"/>
      <c r="C13" s="54" t="s">
        <v>21</v>
      </c>
      <c r="D13" s="54">
        <v>1.8</v>
      </c>
      <c r="E13" s="54">
        <v>10</v>
      </c>
      <c r="F13" s="54">
        <f t="shared" ref="F13:F24" si="1">E13*(D13+D14)/2</f>
        <v>21.5</v>
      </c>
      <c r="G13" s="55">
        <v>21.175000000000001</v>
      </c>
      <c r="H13">
        <f>L$2*F13^M$2</f>
        <v>34.63399661834459</v>
      </c>
      <c r="I13">
        <f>(G13-H13)^2</f>
        <v>181.14458997261107</v>
      </c>
      <c r="K13">
        <f>(G13-G$88)^2</f>
        <v>192388.03284572283</v>
      </c>
      <c r="M13" s="1">
        <f t="shared" si="0"/>
        <v>13.458996618344589</v>
      </c>
    </row>
    <row r="14" spans="1:15" x14ac:dyDescent="0.25">
      <c r="A14" s="53"/>
      <c r="B14" s="54"/>
      <c r="C14" s="54" t="s">
        <v>22</v>
      </c>
      <c r="D14" s="54">
        <v>2.5</v>
      </c>
      <c r="E14" s="54">
        <v>1</v>
      </c>
      <c r="F14" s="54">
        <f t="shared" si="1"/>
        <v>4.8</v>
      </c>
      <c r="G14" s="55">
        <v>7.36</v>
      </c>
      <c r="H14">
        <f>L$2*F14^M$2</f>
        <v>5.8679323553841947</v>
      </c>
      <c r="I14">
        <f>(G14-H14)^2</f>
        <v>2.2262658561093582</v>
      </c>
      <c r="K14">
        <f>(G14-G$88)^2</f>
        <v>204697.97431490832</v>
      </c>
      <c r="M14" s="1">
        <f t="shared" si="0"/>
        <v>-1.4920676446158057</v>
      </c>
    </row>
    <row r="15" spans="1:15" x14ac:dyDescent="0.25">
      <c r="A15" s="53"/>
      <c r="B15" s="54"/>
      <c r="C15" s="54" t="s">
        <v>19</v>
      </c>
      <c r="D15" s="54">
        <v>7.1</v>
      </c>
      <c r="E15" s="54">
        <v>10</v>
      </c>
      <c r="F15" s="54">
        <f t="shared" si="1"/>
        <v>63</v>
      </c>
      <c r="G15" s="55">
        <v>98.575000000000017</v>
      </c>
      <c r="H15">
        <f>L$2*F15^M$2</f>
        <v>123.68433096607637</v>
      </c>
      <c r="I15">
        <f>(G15-H15)^2</f>
        <v>630.478501563961</v>
      </c>
      <c r="K15">
        <f>(G15-G$88)^2</f>
        <v>130480.32359491148</v>
      </c>
      <c r="M15" s="1">
        <f t="shared" si="0"/>
        <v>25.109330966076357</v>
      </c>
    </row>
    <row r="16" spans="1:15" x14ac:dyDescent="0.25">
      <c r="A16" s="53"/>
      <c r="B16" s="54"/>
      <c r="C16" s="54" t="s">
        <v>18</v>
      </c>
      <c r="D16" s="54">
        <v>5.5</v>
      </c>
      <c r="E16" s="54">
        <v>8.1999999999999993</v>
      </c>
      <c r="F16" s="54">
        <f t="shared" si="1"/>
        <v>47.15</v>
      </c>
      <c r="G16" s="55">
        <v>67.239999999999995</v>
      </c>
      <c r="H16">
        <f>L$2*F16^M$2</f>
        <v>87.760240153383961</v>
      </c>
      <c r="I16">
        <f>(G16-H16)^2</f>
        <v>421.08025595255162</v>
      </c>
      <c r="K16">
        <f>(G16-G$88)^2</f>
        <v>154099.9009720326</v>
      </c>
      <c r="M16" s="1">
        <f t="shared" si="0"/>
        <v>20.520240153383966</v>
      </c>
    </row>
    <row r="17" spans="1:13" x14ac:dyDescent="0.25">
      <c r="A17" s="53"/>
      <c r="B17" s="54"/>
      <c r="C17" s="54" t="s">
        <v>17</v>
      </c>
      <c r="D17" s="54">
        <v>6</v>
      </c>
      <c r="E17" s="54">
        <v>0</v>
      </c>
      <c r="F17" s="54"/>
      <c r="G17" s="55"/>
      <c r="M17" s="1">
        <f t="shared" si="0"/>
        <v>0</v>
      </c>
    </row>
    <row r="18" spans="1:13" x14ac:dyDescent="0.25">
      <c r="A18" s="53" t="s">
        <v>4</v>
      </c>
      <c r="B18" s="54"/>
      <c r="C18" s="54" t="s">
        <v>22</v>
      </c>
      <c r="D18" s="54">
        <v>1.5</v>
      </c>
      <c r="E18" s="54">
        <v>2.6</v>
      </c>
      <c r="F18" s="54">
        <f t="shared" si="1"/>
        <v>8.19</v>
      </c>
      <c r="G18" s="56">
        <v>11.999000000000001</v>
      </c>
      <c r="H18">
        <f>L$2*F18^M$2</f>
        <v>11.046472439626438</v>
      </c>
      <c r="I18">
        <f>(G18-H18)^2</f>
        <v>0.90730875327121085</v>
      </c>
      <c r="K18">
        <f>(G18-G$88)^2</f>
        <v>200521.79711688359</v>
      </c>
      <c r="M18" s="1">
        <f t="shared" si="0"/>
        <v>-0.95252756037356257</v>
      </c>
    </row>
    <row r="19" spans="1:13" x14ac:dyDescent="0.25">
      <c r="A19" s="53"/>
      <c r="B19" s="54"/>
      <c r="C19" s="54" t="s">
        <v>19</v>
      </c>
      <c r="D19" s="54">
        <v>4.8</v>
      </c>
      <c r="E19" s="54">
        <v>4.4000000000000004</v>
      </c>
      <c r="F19" s="54">
        <f t="shared" si="1"/>
        <v>24.200000000000003</v>
      </c>
      <c r="G19" s="56">
        <v>40.271000000000001</v>
      </c>
      <c r="H19">
        <f>L$2*F19^M$2</f>
        <v>39.841241857658709</v>
      </c>
      <c r="I19">
        <f>(G19-H19)^2</f>
        <v>0.18469206090863835</v>
      </c>
      <c r="K19">
        <f>(G19-G$88)^2</f>
        <v>176000.89201503686</v>
      </c>
      <c r="M19" s="1">
        <f t="shared" si="0"/>
        <v>-0.42975814234129217</v>
      </c>
    </row>
    <row r="20" spans="1:13" x14ac:dyDescent="0.25">
      <c r="A20" s="53"/>
      <c r="B20" s="54"/>
      <c r="C20" s="54" t="s">
        <v>18</v>
      </c>
      <c r="D20" s="54">
        <v>6.2</v>
      </c>
      <c r="E20" s="54">
        <v>1.2</v>
      </c>
      <c r="F20" s="54">
        <f t="shared" si="1"/>
        <v>7.74</v>
      </c>
      <c r="G20" s="56">
        <v>14.696999999999997</v>
      </c>
      <c r="H20">
        <f>L$2*F20^M$2</f>
        <v>10.33153309278568</v>
      </c>
      <c r="I20">
        <f>(G20-H20)^2</f>
        <v>19.057301317983338</v>
      </c>
      <c r="K20">
        <f>(G20-G$88)^2</f>
        <v>198112.76585435792</v>
      </c>
      <c r="M20" s="1">
        <f t="shared" si="0"/>
        <v>-4.3654669072143175</v>
      </c>
    </row>
    <row r="21" spans="1:13" x14ac:dyDescent="0.25">
      <c r="A21" s="53"/>
      <c r="B21" s="54"/>
      <c r="C21" s="54" t="s">
        <v>17</v>
      </c>
      <c r="D21" s="54">
        <v>6.7</v>
      </c>
      <c r="E21" s="54"/>
      <c r="F21" s="54"/>
      <c r="G21" s="55"/>
      <c r="M21" s="1">
        <f t="shared" si="0"/>
        <v>0</v>
      </c>
    </row>
    <row r="22" spans="1:13" x14ac:dyDescent="0.25">
      <c r="A22" s="53" t="s">
        <v>5</v>
      </c>
      <c r="B22" s="54"/>
      <c r="C22" s="54" t="s">
        <v>22</v>
      </c>
      <c r="D22" s="54">
        <v>18.5</v>
      </c>
      <c r="E22" s="54">
        <v>2.5</v>
      </c>
      <c r="F22" s="54">
        <f t="shared" si="1"/>
        <v>54.375</v>
      </c>
      <c r="G22" s="55">
        <v>174.61250000000001</v>
      </c>
      <c r="H22">
        <f>L$2*F22^M$2</f>
        <v>103.89824442140365</v>
      </c>
      <c r="I22">
        <f>(G22-H22)^2</f>
        <v>5000.5059420350472</v>
      </c>
      <c r="K22">
        <f>(G22-G$88)^2</f>
        <v>81329.401891877715</v>
      </c>
      <c r="M22" s="1">
        <f t="shared" si="0"/>
        <v>-70.714255578596365</v>
      </c>
    </row>
    <row r="23" spans="1:13" x14ac:dyDescent="0.25">
      <c r="A23" s="53"/>
      <c r="B23" s="54"/>
      <c r="C23" s="54" t="s">
        <v>19</v>
      </c>
      <c r="D23" s="54">
        <v>25</v>
      </c>
      <c r="E23" s="54">
        <v>7.5</v>
      </c>
      <c r="F23" s="54">
        <f t="shared" si="1"/>
        <v>213.75</v>
      </c>
      <c r="G23" s="55">
        <v>781.01249999999993</v>
      </c>
      <c r="H23">
        <f>L$2*F23^M$2</f>
        <v>525.41724606293678</v>
      </c>
      <c r="I23">
        <f>(G23-H23)^2</f>
        <v>65328.933835151794</v>
      </c>
      <c r="K23">
        <f>(G23-G$88)^2</f>
        <v>103180.29530670993</v>
      </c>
      <c r="M23" s="1">
        <f t="shared" si="0"/>
        <v>-255.59525393706315</v>
      </c>
    </row>
    <row r="24" spans="1:13" x14ac:dyDescent="0.25">
      <c r="A24" s="53"/>
      <c r="B24" s="54"/>
      <c r="C24" s="54" t="s">
        <v>18</v>
      </c>
      <c r="D24" s="54">
        <v>32</v>
      </c>
      <c r="E24" s="54">
        <v>5.2</v>
      </c>
      <c r="F24" s="54">
        <f t="shared" si="1"/>
        <v>162.5</v>
      </c>
      <c r="G24" s="55">
        <v>548.2360000000001</v>
      </c>
      <c r="H24">
        <f>L$2*F24^M$2</f>
        <v>379.79204001064517</v>
      </c>
      <c r="I24">
        <f>(G24-H24)^2</f>
        <v>28373.367656895407</v>
      </c>
      <c r="K24">
        <f>(G24-G$88)^2</f>
        <v>7821.7039284558732</v>
      </c>
      <c r="M24" s="1">
        <f t="shared" ref="M24:M85" si="2">H24-G24</f>
        <v>-168.44395998935494</v>
      </c>
    </row>
    <row r="25" spans="1:13" x14ac:dyDescent="0.25">
      <c r="A25" s="53"/>
      <c r="B25" s="54"/>
      <c r="C25" s="54" t="s">
        <v>17</v>
      </c>
      <c r="D25" s="54">
        <v>30.5</v>
      </c>
      <c r="E25" s="54"/>
      <c r="F25" s="54"/>
      <c r="G25" s="55"/>
      <c r="M25" s="1">
        <f t="shared" si="2"/>
        <v>0</v>
      </c>
    </row>
    <row r="26" spans="1:13" x14ac:dyDescent="0.25">
      <c r="A26" s="53"/>
      <c r="B26" s="54"/>
      <c r="C26" s="54" t="s">
        <v>17</v>
      </c>
      <c r="D26" s="57">
        <v>4.9510000000000005</v>
      </c>
      <c r="E26" s="54">
        <v>0</v>
      </c>
      <c r="F26" s="54"/>
      <c r="G26" s="55"/>
      <c r="M26" s="1">
        <f t="shared" si="2"/>
        <v>0</v>
      </c>
    </row>
    <row r="27" spans="1:13" x14ac:dyDescent="0.25">
      <c r="A27" s="53" t="s">
        <v>6</v>
      </c>
      <c r="B27" s="54"/>
      <c r="C27" s="54" t="s">
        <v>18</v>
      </c>
      <c r="D27" s="57">
        <v>4.8244999999999987</v>
      </c>
      <c r="E27" s="54">
        <v>13</v>
      </c>
      <c r="F27" s="54">
        <f>(D26+D27)/2*(E27-E26)</f>
        <v>63.540749999999996</v>
      </c>
      <c r="G27" s="55">
        <v>70.421974999992017</v>
      </c>
      <c r="H27">
        <f t="shared" ref="H27:H62" si="3">L$2*F27^M$2</f>
        <v>124.9422838667026</v>
      </c>
      <c r="I27">
        <f t="shared" ref="I27:I85" si="4">(G27-H27)^2</f>
        <v>2972.46407892152</v>
      </c>
      <c r="K27">
        <f t="shared" ref="K27:K85" si="5">(G27-G$88)^2</f>
        <v>151611.82171107511</v>
      </c>
      <c r="M27" s="1">
        <f t="shared" si="2"/>
        <v>54.520308866710579</v>
      </c>
    </row>
    <row r="28" spans="1:13" x14ac:dyDescent="0.25">
      <c r="A28" s="53"/>
      <c r="B28" s="54"/>
      <c r="C28" s="54" t="s">
        <v>19</v>
      </c>
      <c r="D28" s="57">
        <v>5.4510000000000023</v>
      </c>
      <c r="E28" s="54">
        <v>26</v>
      </c>
      <c r="F28" s="54">
        <f t="shared" ref="F28:F60" si="6">(D27+D28)/2*(E28-E27)</f>
        <v>66.790750000000003</v>
      </c>
      <c r="G28" s="55">
        <v>60.017896249992191</v>
      </c>
      <c r="H28">
        <f t="shared" si="3"/>
        <v>132.5438547097184</v>
      </c>
      <c r="I28">
        <f t="shared" si="4"/>
        <v>5260.014650501932</v>
      </c>
      <c r="K28">
        <f t="shared" si="5"/>
        <v>159822.2143309016</v>
      </c>
      <c r="M28" s="1">
        <f t="shared" si="2"/>
        <v>72.525958459726212</v>
      </c>
    </row>
    <row r="29" spans="1:13" x14ac:dyDescent="0.25">
      <c r="A29" s="53"/>
      <c r="B29" s="54"/>
      <c r="C29" s="54" t="s">
        <v>22</v>
      </c>
      <c r="D29" s="57">
        <v>7.818369999999998</v>
      </c>
      <c r="E29" s="54">
        <v>37</v>
      </c>
      <c r="F29" s="54">
        <f t="shared" si="6"/>
        <v>72.981535000000008</v>
      </c>
      <c r="G29" s="55">
        <v>62.434320960012883</v>
      </c>
      <c r="H29">
        <f t="shared" si="3"/>
        <v>147.21079497076659</v>
      </c>
      <c r="I29">
        <f t="shared" si="4"/>
        <v>7187.0505456959982</v>
      </c>
      <c r="K29">
        <f t="shared" si="5"/>
        <v>157895.98798399037</v>
      </c>
      <c r="M29" s="1">
        <f t="shared" si="2"/>
        <v>84.776474010753702</v>
      </c>
    </row>
    <row r="30" spans="1:13" x14ac:dyDescent="0.25">
      <c r="A30" s="53"/>
      <c r="B30" s="54"/>
      <c r="C30" s="54" t="s">
        <v>21</v>
      </c>
      <c r="D30" s="57">
        <v>10.185719999999998</v>
      </c>
      <c r="E30" s="54">
        <v>49</v>
      </c>
      <c r="F30" s="54">
        <f t="shared" si="6"/>
        <v>108.02453999999999</v>
      </c>
      <c r="G30" s="55">
        <v>83.582873100018361</v>
      </c>
      <c r="H30">
        <f t="shared" si="3"/>
        <v>234.19953347272244</v>
      </c>
      <c r="I30">
        <f t="shared" si="4"/>
        <v>22685.378381826486</v>
      </c>
      <c r="K30">
        <f t="shared" si="5"/>
        <v>141536.01768389664</v>
      </c>
      <c r="M30" s="1">
        <f t="shared" si="2"/>
        <v>150.61666037270408</v>
      </c>
    </row>
    <row r="31" spans="1:13" x14ac:dyDescent="0.25">
      <c r="A31" s="53"/>
      <c r="B31" s="54"/>
      <c r="C31" s="54" t="s">
        <v>20</v>
      </c>
      <c r="D31" s="57">
        <v>12.07</v>
      </c>
      <c r="E31" s="54">
        <v>58</v>
      </c>
      <c r="F31" s="54">
        <f t="shared" si="6"/>
        <v>100.15073999999998</v>
      </c>
      <c r="G31" s="55">
        <v>74.145609585002617</v>
      </c>
      <c r="H31">
        <f t="shared" si="3"/>
        <v>214.12629482487225</v>
      </c>
      <c r="I31">
        <f t="shared" si="4"/>
        <v>19594.59224022345</v>
      </c>
      <c r="K31">
        <f t="shared" si="5"/>
        <v>148725.9169546765</v>
      </c>
      <c r="M31" s="1">
        <f t="shared" si="2"/>
        <v>139.98068523986962</v>
      </c>
    </row>
    <row r="32" spans="1:13" x14ac:dyDescent="0.25">
      <c r="A32" s="53"/>
      <c r="B32" s="54"/>
      <c r="C32" s="54" t="s">
        <v>32</v>
      </c>
      <c r="D32" s="57">
        <v>4.76</v>
      </c>
      <c r="E32" s="54">
        <v>67</v>
      </c>
      <c r="F32" s="54">
        <f t="shared" si="6"/>
        <v>75.734999999999985</v>
      </c>
      <c r="G32" s="55">
        <v>50.976000000014217</v>
      </c>
      <c r="H32">
        <f t="shared" si="3"/>
        <v>153.80933103922035</v>
      </c>
      <c r="I32">
        <f t="shared" si="4"/>
        <v>10574.693972618958</v>
      </c>
      <c r="K32">
        <f t="shared" si="5"/>
        <v>167133.46730273927</v>
      </c>
      <c r="M32" s="1">
        <f t="shared" si="2"/>
        <v>102.83333103920614</v>
      </c>
    </row>
    <row r="33" spans="1:13" x14ac:dyDescent="0.25">
      <c r="A33" s="53"/>
      <c r="B33" s="54"/>
      <c r="C33" s="54" t="s">
        <v>33</v>
      </c>
      <c r="D33" s="57">
        <v>13</v>
      </c>
      <c r="E33" s="54">
        <v>80</v>
      </c>
      <c r="F33" s="54">
        <f t="shared" si="6"/>
        <v>115.43999999999998</v>
      </c>
      <c r="G33" s="55">
        <v>217.41404750000945</v>
      </c>
      <c r="H33">
        <f t="shared" si="3"/>
        <v>253.35259342988061</v>
      </c>
      <c r="I33">
        <f t="shared" si="4"/>
        <v>1291.5790835534594</v>
      </c>
      <c r="K33">
        <f t="shared" si="5"/>
        <v>58748.818153517866</v>
      </c>
      <c r="M33" s="1">
        <f t="shared" si="2"/>
        <v>35.938545929871168</v>
      </c>
    </row>
    <row r="34" spans="1:13" x14ac:dyDescent="0.25">
      <c r="A34" s="53"/>
      <c r="B34" s="54"/>
      <c r="C34" s="54" t="s">
        <v>34</v>
      </c>
      <c r="D34" s="57">
        <v>17.303999999999998</v>
      </c>
      <c r="E34" s="54">
        <v>92</v>
      </c>
      <c r="F34" s="54">
        <f t="shared" si="6"/>
        <v>181.82399999999998</v>
      </c>
      <c r="G34" s="55">
        <v>426.23619300001508</v>
      </c>
      <c r="H34">
        <f t="shared" si="3"/>
        <v>433.8329196404074</v>
      </c>
      <c r="I34">
        <f t="shared" si="4"/>
        <v>57.71025564884637</v>
      </c>
      <c r="K34">
        <f t="shared" si="5"/>
        <v>1126.2339589685232</v>
      </c>
      <c r="M34" s="1">
        <f t="shared" si="2"/>
        <v>7.596726640392319</v>
      </c>
    </row>
    <row r="35" spans="1:13" x14ac:dyDescent="0.25">
      <c r="A35" s="53"/>
      <c r="B35" s="54"/>
      <c r="C35" s="54" t="s">
        <v>58</v>
      </c>
      <c r="D35" s="57">
        <v>14.618</v>
      </c>
      <c r="E35" s="54">
        <v>101</v>
      </c>
      <c r="F35" s="54">
        <f t="shared" si="6"/>
        <v>143.649</v>
      </c>
      <c r="G35" s="55">
        <v>408.58149149999315</v>
      </c>
      <c r="H35">
        <f t="shared" si="3"/>
        <v>328.20240594304403</v>
      </c>
      <c r="I35">
        <f t="shared" si="4"/>
        <v>6460.7973949713469</v>
      </c>
      <c r="K35">
        <f t="shared" si="5"/>
        <v>2622.8851548092794</v>
      </c>
      <c r="M35" s="1">
        <f t="shared" si="2"/>
        <v>-80.379085556949121</v>
      </c>
    </row>
    <row r="36" spans="1:13" x14ac:dyDescent="0.25">
      <c r="A36" s="53"/>
      <c r="B36" s="54"/>
      <c r="C36" s="54" t="s">
        <v>59</v>
      </c>
      <c r="D36" s="57">
        <v>19.648555999999999</v>
      </c>
      <c r="E36" s="54">
        <v>111</v>
      </c>
      <c r="F36" s="54">
        <f t="shared" si="6"/>
        <v>171.33278000000001</v>
      </c>
      <c r="G36" s="55">
        <v>534.96065950997001</v>
      </c>
      <c r="H36">
        <f t="shared" si="3"/>
        <v>404.35477897887648</v>
      </c>
      <c r="I36">
        <f t="shared" si="4"/>
        <v>17057.896029302276</v>
      </c>
      <c r="K36">
        <f t="shared" si="5"/>
        <v>5649.7858110332727</v>
      </c>
      <c r="M36" s="1">
        <f t="shared" si="2"/>
        <v>-130.60588053109353</v>
      </c>
    </row>
    <row r="37" spans="1:13" x14ac:dyDescent="0.25">
      <c r="A37" s="53"/>
      <c r="B37" s="54"/>
      <c r="C37" s="54" t="s">
        <v>31</v>
      </c>
      <c r="D37" s="57">
        <v>37.53</v>
      </c>
      <c r="E37" s="54">
        <v>122</v>
      </c>
      <c r="F37" s="54">
        <f t="shared" si="6"/>
        <v>314.48205799999999</v>
      </c>
      <c r="G37" s="55">
        <v>932.84056471101906</v>
      </c>
      <c r="H37">
        <f t="shared" si="3"/>
        <v>829.94437756456648</v>
      </c>
      <c r="I37">
        <f t="shared" si="4"/>
        <v>10587.625329277793</v>
      </c>
      <c r="K37">
        <f t="shared" si="5"/>
        <v>223771.53637216467</v>
      </c>
      <c r="M37" s="1">
        <f t="shared" si="2"/>
        <v>-102.89618714645258</v>
      </c>
    </row>
    <row r="38" spans="1:13" x14ac:dyDescent="0.25">
      <c r="A38" s="53"/>
      <c r="B38" s="54"/>
      <c r="C38" s="54" t="s">
        <v>30</v>
      </c>
      <c r="D38" s="57">
        <v>36.700000000000003</v>
      </c>
      <c r="E38" s="54">
        <v>136</v>
      </c>
      <c r="F38" s="54">
        <f t="shared" si="6"/>
        <v>519.61</v>
      </c>
      <c r="G38" s="55">
        <v>1653.8163600001076</v>
      </c>
      <c r="H38">
        <f t="shared" si="3"/>
        <v>1504.0339320079131</v>
      </c>
      <c r="I38">
        <f t="shared" si="4"/>
        <v>22434.775735236923</v>
      </c>
      <c r="K38">
        <f t="shared" si="5"/>
        <v>1425685.5695908673</v>
      </c>
      <c r="M38" s="1">
        <f t="shared" si="2"/>
        <v>-149.78242799219447</v>
      </c>
    </row>
    <row r="39" spans="1:13" x14ac:dyDescent="0.25">
      <c r="A39" s="53"/>
      <c r="B39" s="54"/>
      <c r="C39" s="54" t="s">
        <v>29</v>
      </c>
      <c r="D39" s="57">
        <v>38.799999999999997</v>
      </c>
      <c r="E39" s="54">
        <v>150</v>
      </c>
      <c r="F39" s="54">
        <f t="shared" si="6"/>
        <v>528.5</v>
      </c>
      <c r="G39" s="55">
        <v>1658.3050645001185</v>
      </c>
      <c r="H39">
        <f t="shared" si="3"/>
        <v>1534.5489407724406</v>
      </c>
      <c r="I39">
        <f t="shared" si="4"/>
        <v>15315.578160100336</v>
      </c>
      <c r="K39">
        <f t="shared" si="5"/>
        <v>1436424.9307544888</v>
      </c>
      <c r="M39" s="1">
        <f t="shared" si="2"/>
        <v>-123.75612372767796</v>
      </c>
    </row>
    <row r="40" spans="1:13" x14ac:dyDescent="0.25">
      <c r="A40" s="53"/>
      <c r="B40" s="54"/>
      <c r="C40" s="54" t="s">
        <v>28</v>
      </c>
      <c r="D40" s="57">
        <v>40.5</v>
      </c>
      <c r="E40" s="54">
        <v>163</v>
      </c>
      <c r="F40" s="54">
        <f t="shared" si="6"/>
        <v>515.44999999999993</v>
      </c>
      <c r="G40" s="55">
        <v>1757.3148027500588</v>
      </c>
      <c r="H40">
        <f t="shared" si="3"/>
        <v>1489.7875538337428</v>
      </c>
      <c r="I40">
        <f t="shared" si="4"/>
        <v>71570.828912732512</v>
      </c>
      <c r="K40">
        <f t="shared" si="5"/>
        <v>1683556.075288936</v>
      </c>
      <c r="M40" s="1">
        <f t="shared" si="2"/>
        <v>-267.52724891631601</v>
      </c>
    </row>
    <row r="41" spans="1:13" x14ac:dyDescent="0.25">
      <c r="A41" s="53"/>
      <c r="B41" s="54"/>
      <c r="C41" s="54" t="s">
        <v>27</v>
      </c>
      <c r="D41" s="57">
        <v>38</v>
      </c>
      <c r="E41" s="54">
        <v>172</v>
      </c>
      <c r="F41" s="54">
        <f t="shared" si="6"/>
        <v>353.25</v>
      </c>
      <c r="G41" s="55">
        <v>1332.2069729999646</v>
      </c>
      <c r="H41">
        <f t="shared" si="3"/>
        <v>952.41179136768528</v>
      </c>
      <c r="I41">
        <f t="shared" si="4"/>
        <v>144244.37999109604</v>
      </c>
      <c r="K41">
        <f t="shared" si="5"/>
        <v>761101.59956009663</v>
      </c>
      <c r="M41" s="1">
        <f t="shared" si="2"/>
        <v>-379.79518163227931</v>
      </c>
    </row>
    <row r="42" spans="1:13" x14ac:dyDescent="0.25">
      <c r="A42" s="53"/>
      <c r="B42" s="54"/>
      <c r="C42" s="54" t="s">
        <v>26</v>
      </c>
      <c r="D42" s="57">
        <v>33.049999999999997</v>
      </c>
      <c r="E42" s="54">
        <v>183</v>
      </c>
      <c r="F42" s="54">
        <f t="shared" si="6"/>
        <v>390.77499999999998</v>
      </c>
      <c r="G42" s="55">
        <v>1385.7935107499484</v>
      </c>
      <c r="H42">
        <f t="shared" si="3"/>
        <v>1073.3386579503315</v>
      </c>
      <c r="I42">
        <f t="shared" si="4"/>
        <v>97628.03503803027</v>
      </c>
      <c r="K42">
        <f t="shared" si="5"/>
        <v>857472.12627695792</v>
      </c>
      <c r="M42" s="1">
        <f t="shared" si="2"/>
        <v>-312.4548527996169</v>
      </c>
    </row>
    <row r="43" spans="1:13" x14ac:dyDescent="0.25">
      <c r="A43" s="53"/>
      <c r="B43" s="54"/>
      <c r="C43" s="54" t="s">
        <v>25</v>
      </c>
      <c r="D43" s="57">
        <v>32.966000000000001</v>
      </c>
      <c r="E43" s="54">
        <v>193</v>
      </c>
      <c r="F43" s="54">
        <f t="shared" si="6"/>
        <v>330.07999999999993</v>
      </c>
      <c r="G43" s="55">
        <v>1128.0903350000526</v>
      </c>
      <c r="H43">
        <f t="shared" si="3"/>
        <v>878.90233657611986</v>
      </c>
      <c r="I43">
        <f t="shared" si="4"/>
        <v>62094.658558525916</v>
      </c>
      <c r="K43">
        <f t="shared" si="5"/>
        <v>446617.84962709481</v>
      </c>
      <c r="M43" s="1">
        <f t="shared" si="2"/>
        <v>-249.18799842393275</v>
      </c>
    </row>
    <row r="44" spans="1:13" x14ac:dyDescent="0.25">
      <c r="A44" s="53"/>
      <c r="B44" s="54"/>
      <c r="C44" s="54" t="s">
        <v>24</v>
      </c>
      <c r="D44" s="57">
        <v>35.516498999999996</v>
      </c>
      <c r="E44" s="54">
        <v>205</v>
      </c>
      <c r="F44" s="54">
        <f t="shared" si="6"/>
        <v>410.89499399999994</v>
      </c>
      <c r="G44" s="55">
        <v>1414.5237454356663</v>
      </c>
      <c r="H44">
        <f t="shared" si="3"/>
        <v>1139.076259198097</v>
      </c>
      <c r="I44">
        <f t="shared" si="4"/>
        <v>75871.317674595964</v>
      </c>
      <c r="K44">
        <f t="shared" si="5"/>
        <v>911505.82711307332</v>
      </c>
      <c r="M44" s="1">
        <f t="shared" si="2"/>
        <v>-275.44748623756936</v>
      </c>
    </row>
    <row r="45" spans="1:13" x14ac:dyDescent="0.25">
      <c r="A45" s="53"/>
      <c r="B45" s="54"/>
      <c r="C45" s="54" t="s">
        <v>23</v>
      </c>
      <c r="D45" s="57">
        <v>38</v>
      </c>
      <c r="E45" s="54">
        <v>216</v>
      </c>
      <c r="F45" s="54">
        <f t="shared" si="6"/>
        <v>404.34074449999997</v>
      </c>
      <c r="G45" s="55">
        <v>1328.0588918992703</v>
      </c>
      <c r="H45">
        <f t="shared" si="3"/>
        <v>1117.5951830492731</v>
      </c>
      <c r="I45">
        <f t="shared" si="4"/>
        <v>44294.972742896367</v>
      </c>
      <c r="K45">
        <f t="shared" si="5"/>
        <v>753881.13990004361</v>
      </c>
      <c r="M45" s="1">
        <f t="shared" si="2"/>
        <v>-210.46370884999715</v>
      </c>
    </row>
    <row r="46" spans="1:13" x14ac:dyDescent="0.25">
      <c r="A46" s="53"/>
      <c r="B46" s="54"/>
      <c r="C46" s="54" t="s">
        <v>60</v>
      </c>
      <c r="D46" s="57">
        <v>30.625500000000002</v>
      </c>
      <c r="E46" s="54">
        <v>232</v>
      </c>
      <c r="F46" s="54">
        <f t="shared" si="6"/>
        <v>549.00400000000002</v>
      </c>
      <c r="G46" s="55">
        <v>1934.1836174720102</v>
      </c>
      <c r="H46">
        <f t="shared" si="3"/>
        <v>1605.2876922382306</v>
      </c>
      <c r="I46">
        <f t="shared" si="4"/>
        <v>108172.52963538388</v>
      </c>
      <c r="K46">
        <f t="shared" si="5"/>
        <v>2173820.0190014811</v>
      </c>
      <c r="M46" s="1">
        <f t="shared" si="2"/>
        <v>-328.89592523377951</v>
      </c>
    </row>
    <row r="47" spans="1:13" x14ac:dyDescent="0.25">
      <c r="A47" s="53"/>
      <c r="B47" s="54"/>
      <c r="C47" s="54" t="s">
        <v>61</v>
      </c>
      <c r="D47" s="57">
        <v>32.975999999999999</v>
      </c>
      <c r="E47" s="54">
        <v>245</v>
      </c>
      <c r="F47" s="54">
        <f t="shared" si="6"/>
        <v>413.40975000000003</v>
      </c>
      <c r="G47" s="55">
        <v>1426.7508981960291</v>
      </c>
      <c r="H47">
        <f t="shared" si="3"/>
        <v>1147.3349948210539</v>
      </c>
      <c r="I47">
        <f t="shared" si="4"/>
        <v>78073.247058853463</v>
      </c>
      <c r="K47">
        <f t="shared" si="5"/>
        <v>935002.54407683969</v>
      </c>
      <c r="M47" s="1">
        <f t="shared" si="2"/>
        <v>-279.41590337497519</v>
      </c>
    </row>
    <row r="48" spans="1:13" x14ac:dyDescent="0.25">
      <c r="A48" s="53"/>
      <c r="B48" s="54"/>
      <c r="C48" s="54" t="s">
        <v>62</v>
      </c>
      <c r="D48" s="57">
        <v>30.247</v>
      </c>
      <c r="E48" s="54">
        <v>261</v>
      </c>
      <c r="F48" s="54">
        <f t="shared" si="6"/>
        <v>505.78399999999999</v>
      </c>
      <c r="G48" s="55">
        <v>1543.3525559999412</v>
      </c>
      <c r="H48">
        <f t="shared" si="3"/>
        <v>1456.7671391618694</v>
      </c>
      <c r="I48">
        <f t="shared" si="4"/>
        <v>7497.034409022639</v>
      </c>
      <c r="K48">
        <f t="shared" si="5"/>
        <v>1174095.671704706</v>
      </c>
      <c r="M48" s="1">
        <f t="shared" si="2"/>
        <v>-86.585416838071751</v>
      </c>
    </row>
    <row r="49" spans="1:13" x14ac:dyDescent="0.25">
      <c r="A49" s="53"/>
      <c r="B49" s="54"/>
      <c r="C49" s="54" t="s">
        <v>63</v>
      </c>
      <c r="D49" s="57">
        <v>31.3035</v>
      </c>
      <c r="E49" s="54">
        <v>272</v>
      </c>
      <c r="F49" s="54">
        <f t="shared" si="6"/>
        <v>338.52774999999997</v>
      </c>
      <c r="G49" s="55">
        <v>1059.651616823264</v>
      </c>
      <c r="H49">
        <f t="shared" si="3"/>
        <v>905.59724981050113</v>
      </c>
      <c r="I49">
        <f t="shared" si="4"/>
        <v>23732.747995703048</v>
      </c>
      <c r="K49">
        <f t="shared" si="5"/>
        <v>359827.23804525548</v>
      </c>
      <c r="M49" s="1">
        <f t="shared" si="2"/>
        <v>-154.0543670127629</v>
      </c>
    </row>
    <row r="50" spans="1:13" x14ac:dyDescent="0.25">
      <c r="A50" s="53"/>
      <c r="B50" s="54"/>
      <c r="C50" s="54" t="s">
        <v>64</v>
      </c>
      <c r="D50" s="57">
        <v>42.160000000000004</v>
      </c>
      <c r="E50" s="54">
        <v>283</v>
      </c>
      <c r="F50" s="54">
        <f t="shared" si="6"/>
        <v>404.04925000000003</v>
      </c>
      <c r="G50" s="55">
        <v>1177.3605103232753</v>
      </c>
      <c r="H50">
        <f t="shared" si="3"/>
        <v>1116.6413106745956</v>
      </c>
      <c r="I50">
        <f t="shared" si="4"/>
        <v>3686.8212059762254</v>
      </c>
      <c r="K50">
        <f t="shared" si="5"/>
        <v>514899.39708950871</v>
      </c>
      <c r="M50" s="1">
        <f t="shared" si="2"/>
        <v>-60.719199648679705</v>
      </c>
    </row>
    <row r="51" spans="1:13" x14ac:dyDescent="0.25">
      <c r="A51" s="53"/>
      <c r="B51" s="54"/>
      <c r="C51" s="54" t="s">
        <v>65</v>
      </c>
      <c r="D51" s="57">
        <v>45.001500999999998</v>
      </c>
      <c r="E51" s="54">
        <v>292</v>
      </c>
      <c r="F51" s="54">
        <f t="shared" si="6"/>
        <v>392.22675450000003</v>
      </c>
      <c r="G51" s="55">
        <v>1103.0472930757905</v>
      </c>
      <c r="H51">
        <f t="shared" si="3"/>
        <v>1078.0614969805954</v>
      </c>
      <c r="I51">
        <f t="shared" si="4"/>
        <v>624.29000651066951</v>
      </c>
      <c r="K51">
        <f t="shared" si="5"/>
        <v>413772.73756315262</v>
      </c>
      <c r="M51" s="1">
        <f t="shared" si="2"/>
        <v>-24.985796095195155</v>
      </c>
    </row>
    <row r="52" spans="1:13" x14ac:dyDescent="0.25">
      <c r="A52" s="53"/>
      <c r="B52" s="54"/>
      <c r="C52" s="54" t="s">
        <v>66</v>
      </c>
      <c r="D52" s="57">
        <v>36.843000000000004</v>
      </c>
      <c r="E52" s="54">
        <v>301</v>
      </c>
      <c r="F52" s="54">
        <f t="shared" si="6"/>
        <v>368.30025450000005</v>
      </c>
      <c r="G52" s="55">
        <v>1060.7426288257602</v>
      </c>
      <c r="H52">
        <f t="shared" si="3"/>
        <v>1000.6418537346987</v>
      </c>
      <c r="I52">
        <f t="shared" si="4"/>
        <v>3612.1031665463661</v>
      </c>
      <c r="K52">
        <f t="shared" si="5"/>
        <v>361137.32857546565</v>
      </c>
      <c r="M52" s="1">
        <f t="shared" si="2"/>
        <v>-60.100775091061564</v>
      </c>
    </row>
    <row r="53" spans="1:13" x14ac:dyDescent="0.25">
      <c r="A53" s="53"/>
      <c r="B53" s="54"/>
      <c r="C53" s="54" t="s">
        <v>67</v>
      </c>
      <c r="D53" s="57">
        <v>14.5745</v>
      </c>
      <c r="E53" s="54">
        <v>310</v>
      </c>
      <c r="F53" s="54">
        <f t="shared" si="6"/>
        <v>231.37875000000003</v>
      </c>
      <c r="G53" s="55">
        <v>695.00596616995665</v>
      </c>
      <c r="H53">
        <f t="shared" si="3"/>
        <v>577.10450265846555</v>
      </c>
      <c r="I53">
        <f t="shared" si="4"/>
        <v>13900.755098151467</v>
      </c>
      <c r="K53">
        <f t="shared" si="5"/>
        <v>55323.915226948942</v>
      </c>
      <c r="M53" s="1">
        <f t="shared" si="2"/>
        <v>-117.9014635114911</v>
      </c>
    </row>
    <row r="54" spans="1:13" x14ac:dyDescent="0.25">
      <c r="A54" s="53"/>
      <c r="B54" s="54"/>
      <c r="C54" s="54" t="s">
        <v>68</v>
      </c>
      <c r="D54" s="57">
        <v>9.0060000000000002</v>
      </c>
      <c r="E54" s="54">
        <v>320</v>
      </c>
      <c r="F54" s="54">
        <f t="shared" si="6"/>
        <v>117.9025</v>
      </c>
      <c r="G54" s="55">
        <v>340.54802880000381</v>
      </c>
      <c r="H54">
        <f t="shared" si="3"/>
        <v>259.76385585009928</v>
      </c>
      <c r="I54">
        <f t="shared" si="4"/>
        <v>6526.0825992000864</v>
      </c>
      <c r="K54">
        <f t="shared" si="5"/>
        <v>14219.983808394667</v>
      </c>
      <c r="M54" s="1">
        <f t="shared" si="2"/>
        <v>-80.78417294990453</v>
      </c>
    </row>
    <row r="55" spans="1:13" x14ac:dyDescent="0.25">
      <c r="A55" s="53"/>
      <c r="B55" s="54"/>
      <c r="C55" s="54" t="s">
        <v>69</v>
      </c>
      <c r="D55" s="57">
        <v>17.402000000000001</v>
      </c>
      <c r="E55" s="54">
        <v>332</v>
      </c>
      <c r="F55" s="54">
        <f t="shared" si="6"/>
        <v>158.44800000000001</v>
      </c>
      <c r="G55" s="55">
        <v>389.43877860004466</v>
      </c>
      <c r="H55">
        <f t="shared" si="3"/>
        <v>368.60515069408893</v>
      </c>
      <c r="I55">
        <f t="shared" si="4"/>
        <v>434.04005172381704</v>
      </c>
      <c r="K55">
        <f t="shared" si="5"/>
        <v>4950.0826545737691</v>
      </c>
      <c r="M55" s="1">
        <f t="shared" si="2"/>
        <v>-20.833627905955723</v>
      </c>
    </row>
    <row r="56" spans="1:13" x14ac:dyDescent="0.25">
      <c r="A56" s="53"/>
      <c r="B56" s="54"/>
      <c r="C56" s="54" t="s">
        <v>70</v>
      </c>
      <c r="D56" s="57">
        <v>17.997999999999998</v>
      </c>
      <c r="E56" s="54">
        <v>344</v>
      </c>
      <c r="F56" s="54">
        <f t="shared" si="6"/>
        <v>212.39999999999998</v>
      </c>
      <c r="G56" s="55">
        <v>552.56352360002143</v>
      </c>
      <c r="H56">
        <f t="shared" si="3"/>
        <v>521.490518101558</v>
      </c>
      <c r="I56">
        <f t="shared" si="4"/>
        <v>965.53167070753864</v>
      </c>
      <c r="K56">
        <f t="shared" si="5"/>
        <v>8605.8872046227771</v>
      </c>
      <c r="M56" s="1">
        <f t="shared" si="2"/>
        <v>-31.073005498463431</v>
      </c>
    </row>
    <row r="57" spans="1:13" x14ac:dyDescent="0.25">
      <c r="A57" s="53"/>
      <c r="B57" s="54"/>
      <c r="C57" s="54"/>
      <c r="D57" s="57">
        <v>22.891999999999999</v>
      </c>
      <c r="E57" s="54">
        <v>354</v>
      </c>
      <c r="F57" s="54">
        <f t="shared" si="6"/>
        <v>204.45</v>
      </c>
      <c r="G57" s="55">
        <v>496.77643392251457</v>
      </c>
      <c r="H57">
        <f t="shared" si="3"/>
        <v>498.46034954795709</v>
      </c>
      <c r="I57">
        <f t="shared" si="4"/>
        <v>2.8355718336094848</v>
      </c>
      <c r="K57">
        <f t="shared" si="5"/>
        <v>1367.5819004352074</v>
      </c>
      <c r="M57" s="1">
        <f t="shared" si="2"/>
        <v>1.6839156254425234</v>
      </c>
    </row>
    <row r="58" spans="1:13" x14ac:dyDescent="0.25">
      <c r="A58" s="53"/>
      <c r="B58" s="54"/>
      <c r="C58" s="54"/>
      <c r="D58" s="57">
        <v>10.696000000000002</v>
      </c>
      <c r="E58" s="54">
        <v>365</v>
      </c>
      <c r="F58" s="54">
        <f t="shared" si="6"/>
        <v>184.73400000000001</v>
      </c>
      <c r="G58" s="55">
        <v>421.1622733148119</v>
      </c>
      <c r="H58">
        <f t="shared" si="3"/>
        <v>442.06580784516763</v>
      </c>
      <c r="I58">
        <f t="shared" si="4"/>
        <v>436.95775586177427</v>
      </c>
      <c r="K58">
        <f t="shared" si="5"/>
        <v>1492.5341158507104</v>
      </c>
      <c r="M58" s="1">
        <f t="shared" si="2"/>
        <v>20.903534530355728</v>
      </c>
    </row>
    <row r="59" spans="1:13" x14ac:dyDescent="0.25">
      <c r="A59" s="53"/>
      <c r="B59" s="54"/>
      <c r="C59" s="54"/>
      <c r="D59" s="57">
        <v>10.371999000000001</v>
      </c>
      <c r="E59" s="54">
        <v>377</v>
      </c>
      <c r="F59" s="54">
        <f t="shared" si="6"/>
        <v>126.407994</v>
      </c>
      <c r="G59" s="55">
        <v>294.50600585704552</v>
      </c>
      <c r="H59">
        <f t="shared" si="3"/>
        <v>282.09574037026277</v>
      </c>
      <c r="I59">
        <f t="shared" si="4"/>
        <v>154.01468945243104</v>
      </c>
      <c r="K59">
        <f t="shared" si="5"/>
        <v>27320.650723819261</v>
      </c>
      <c r="M59" s="1">
        <f t="shared" si="2"/>
        <v>-12.410265486782748</v>
      </c>
    </row>
    <row r="60" spans="1:13" x14ac:dyDescent="0.25">
      <c r="A60" s="53"/>
      <c r="B60" s="54"/>
      <c r="C60" s="54"/>
      <c r="D60" s="57">
        <v>11.2</v>
      </c>
      <c r="E60" s="54">
        <v>389</v>
      </c>
      <c r="F60" s="54">
        <f t="shared" si="6"/>
        <v>129.43199399999997</v>
      </c>
      <c r="G60" s="55">
        <v>237.75691745700553</v>
      </c>
      <c r="H60">
        <f t="shared" si="3"/>
        <v>290.1033725409095</v>
      </c>
      <c r="I60">
        <f t="shared" si="4"/>
        <v>2740.1513598511765</v>
      </c>
      <c r="K60">
        <f t="shared" si="5"/>
        <v>49301.177609181352</v>
      </c>
      <c r="M60" s="1">
        <f t="shared" si="2"/>
        <v>52.346455083903976</v>
      </c>
    </row>
    <row r="61" spans="1:13" x14ac:dyDescent="0.25">
      <c r="A61" s="53" t="s">
        <v>7</v>
      </c>
      <c r="B61" s="54"/>
      <c r="C61" s="54" t="s">
        <v>19</v>
      </c>
      <c r="D61" s="54">
        <v>1.6</v>
      </c>
      <c r="E61" s="54">
        <v>0.2</v>
      </c>
      <c r="F61" s="54">
        <f t="shared" ref="F61:F62" si="7">E61*(D61+D62)/2</f>
        <v>0.66</v>
      </c>
      <c r="G61" s="55">
        <v>0.81</v>
      </c>
      <c r="H61">
        <f t="shared" si="3"/>
        <v>0.56006120870967191</v>
      </c>
      <c r="I61">
        <f t="shared" si="4"/>
        <v>6.2469399391670212E-2</v>
      </c>
      <c r="K61">
        <f t="shared" si="5"/>
        <v>210667.78320628835</v>
      </c>
      <c r="M61" s="1">
        <f t="shared" si="2"/>
        <v>-0.24993879129032814</v>
      </c>
    </row>
    <row r="62" spans="1:13" x14ac:dyDescent="0.25">
      <c r="A62" s="53"/>
      <c r="B62" s="54"/>
      <c r="C62" s="54" t="s">
        <v>18</v>
      </c>
      <c r="D62" s="54">
        <v>5</v>
      </c>
      <c r="E62" s="54">
        <v>1.6</v>
      </c>
      <c r="F62" s="54">
        <f t="shared" si="7"/>
        <v>9.8400000000000016</v>
      </c>
      <c r="G62" s="55">
        <v>13.82</v>
      </c>
      <c r="H62">
        <f t="shared" si="3"/>
        <v>13.727822976472133</v>
      </c>
      <c r="I62">
        <f t="shared" si="4"/>
        <v>8.4966036664569766E-3</v>
      </c>
      <c r="K62">
        <f t="shared" si="5"/>
        <v>198894.23793195951</v>
      </c>
      <c r="M62" s="1">
        <f t="shared" si="2"/>
        <v>-9.2177023527867163E-2</v>
      </c>
    </row>
    <row r="63" spans="1:13" x14ac:dyDescent="0.25">
      <c r="A63" s="53"/>
      <c r="B63" s="54"/>
      <c r="C63" s="54" t="s">
        <v>17</v>
      </c>
      <c r="D63" s="54">
        <v>7.3000000000000007</v>
      </c>
      <c r="E63" s="54">
        <v>0</v>
      </c>
      <c r="F63" s="54"/>
      <c r="G63" s="55"/>
      <c r="M63" s="1">
        <f t="shared" si="2"/>
        <v>0</v>
      </c>
    </row>
    <row r="64" spans="1:13" x14ac:dyDescent="0.25">
      <c r="A64" s="53" t="s">
        <v>8</v>
      </c>
      <c r="B64" s="54"/>
      <c r="C64" s="54" t="s">
        <v>17</v>
      </c>
      <c r="D64" s="54">
        <v>11.5</v>
      </c>
      <c r="E64" s="54">
        <v>0</v>
      </c>
      <c r="F64" s="54"/>
      <c r="G64" s="55"/>
      <c r="M64" s="1">
        <f t="shared" si="2"/>
        <v>0</v>
      </c>
    </row>
    <row r="65" spans="1:13" x14ac:dyDescent="0.25">
      <c r="A65" s="53"/>
      <c r="B65" s="54"/>
      <c r="C65" s="54" t="s">
        <v>18</v>
      </c>
      <c r="D65" s="54">
        <v>11.6</v>
      </c>
      <c r="E65" s="54">
        <v>2.4</v>
      </c>
      <c r="F65" s="54">
        <f t="shared" ref="F65:F72" si="8">E65*(D64+D65)/2</f>
        <v>27.720000000000002</v>
      </c>
      <c r="G65" s="55">
        <v>93.755999999999986</v>
      </c>
      <c r="H65">
        <f t="shared" ref="H65:H74" si="9">L$2*F65^M$2</f>
        <v>46.79103515648211</v>
      </c>
      <c r="I65">
        <f t="shared" si="4"/>
        <v>2205.7079227528702</v>
      </c>
      <c r="K65">
        <f t="shared" si="5"/>
        <v>133984.99052179861</v>
      </c>
      <c r="M65" s="1">
        <f t="shared" si="2"/>
        <v>-46.964964843517876</v>
      </c>
    </row>
    <row r="66" spans="1:13" x14ac:dyDescent="0.25">
      <c r="A66" s="53"/>
      <c r="B66" s="54"/>
      <c r="C66" s="54" t="s">
        <v>19</v>
      </c>
      <c r="D66" s="54">
        <v>9</v>
      </c>
      <c r="E66" s="54">
        <v>2.5</v>
      </c>
      <c r="F66" s="54">
        <f t="shared" si="8"/>
        <v>25.75</v>
      </c>
      <c r="G66" s="55">
        <v>94.006249999999994</v>
      </c>
      <c r="H66">
        <f t="shared" si="9"/>
        <v>42.880092939386977</v>
      </c>
      <c r="I66">
        <f t="shared" si="4"/>
        <v>2613.8839357864704</v>
      </c>
      <c r="K66">
        <f t="shared" si="5"/>
        <v>133801.85032586218</v>
      </c>
      <c r="M66" s="1">
        <f t="shared" si="2"/>
        <v>-51.126157060613018</v>
      </c>
    </row>
    <row r="67" spans="1:13" x14ac:dyDescent="0.25">
      <c r="A67" s="53"/>
      <c r="B67" s="54"/>
      <c r="C67" s="54" t="s">
        <v>22</v>
      </c>
      <c r="D67" s="54">
        <v>12</v>
      </c>
      <c r="E67" s="54">
        <v>2.5</v>
      </c>
      <c r="F67" s="54">
        <f t="shared" si="8"/>
        <v>26.25</v>
      </c>
      <c r="G67" s="55">
        <v>81.77500000000002</v>
      </c>
      <c r="H67">
        <f t="shared" si="9"/>
        <v>43.867670632158813</v>
      </c>
      <c r="I67">
        <f t="shared" si="4"/>
        <v>1436.9656198019964</v>
      </c>
      <c r="K67">
        <f t="shared" si="5"/>
        <v>142899.57583539767</v>
      </c>
      <c r="M67" s="1">
        <f t="shared" si="2"/>
        <v>-37.907329367841207</v>
      </c>
    </row>
    <row r="68" spans="1:13" x14ac:dyDescent="0.25">
      <c r="A68" s="53"/>
      <c r="B68" s="54"/>
      <c r="C68" s="54" t="s">
        <v>21</v>
      </c>
      <c r="D68" s="54">
        <v>12</v>
      </c>
      <c r="E68" s="54">
        <v>8</v>
      </c>
      <c r="F68" s="54">
        <f t="shared" si="8"/>
        <v>96</v>
      </c>
      <c r="G68" s="55">
        <v>263.38000000000005</v>
      </c>
      <c r="H68">
        <f t="shared" si="9"/>
        <v>203.65947204194845</v>
      </c>
      <c r="I68">
        <f t="shared" si="4"/>
        <v>3566.5414595884235</v>
      </c>
      <c r="K68">
        <f t="shared" si="5"/>
        <v>38579.088864356469</v>
      </c>
      <c r="M68" s="1">
        <f t="shared" si="2"/>
        <v>-59.720527958051605</v>
      </c>
    </row>
    <row r="69" spans="1:13" x14ac:dyDescent="0.25">
      <c r="A69" s="53"/>
      <c r="B69" s="54"/>
      <c r="C69" s="54" t="s">
        <v>20</v>
      </c>
      <c r="D69" s="54">
        <v>5.7</v>
      </c>
      <c r="E69" s="54">
        <v>5.4</v>
      </c>
      <c r="F69" s="54">
        <f t="shared" si="8"/>
        <v>47.79</v>
      </c>
      <c r="G69" s="55">
        <v>100.81800000000001</v>
      </c>
      <c r="H69">
        <f t="shared" si="9"/>
        <v>89.172412799125638</v>
      </c>
      <c r="I69">
        <f t="shared" si="4"/>
        <v>135.61970125316904</v>
      </c>
      <c r="K69">
        <f t="shared" si="5"/>
        <v>128864.91902156567</v>
      </c>
      <c r="M69" s="1">
        <f t="shared" si="2"/>
        <v>-11.645587200874374</v>
      </c>
    </row>
    <row r="70" spans="1:13" x14ac:dyDescent="0.25">
      <c r="A70" s="53"/>
      <c r="B70" s="54"/>
      <c r="C70" s="54" t="s">
        <v>32</v>
      </c>
      <c r="D70" s="54">
        <v>3.2</v>
      </c>
      <c r="E70" s="54">
        <v>10</v>
      </c>
      <c r="F70" s="54">
        <f t="shared" si="8"/>
        <v>44.5</v>
      </c>
      <c r="G70" s="55">
        <v>59.2</v>
      </c>
      <c r="H70">
        <f t="shared" si="9"/>
        <v>81.950899855443026</v>
      </c>
      <c r="I70">
        <f t="shared" si="4"/>
        <v>517.60344423239735</v>
      </c>
      <c r="K70">
        <f t="shared" si="5"/>
        <v>160476.83665855101</v>
      </c>
      <c r="M70" s="1">
        <f t="shared" si="2"/>
        <v>22.750899855443024</v>
      </c>
    </row>
    <row r="71" spans="1:13" x14ac:dyDescent="0.25">
      <c r="A71" s="53"/>
      <c r="B71" s="54"/>
      <c r="C71" s="54" t="s">
        <v>33</v>
      </c>
      <c r="D71" s="54">
        <v>3</v>
      </c>
      <c r="E71" s="54">
        <v>6</v>
      </c>
      <c r="F71" s="54">
        <f t="shared" si="8"/>
        <v>18.600000000000001</v>
      </c>
      <c r="G71" s="55">
        <v>26.025000000000002</v>
      </c>
      <c r="H71">
        <f t="shared" si="9"/>
        <v>29.174189503233876</v>
      </c>
      <c r="I71">
        <f t="shared" si="4"/>
        <v>9.9173945272784128</v>
      </c>
      <c r="K71">
        <f t="shared" si="5"/>
        <v>188156.93550248726</v>
      </c>
      <c r="M71" s="1">
        <f t="shared" si="2"/>
        <v>3.1491895032338739</v>
      </c>
    </row>
    <row r="72" spans="1:13" x14ac:dyDescent="0.25">
      <c r="A72" s="53"/>
      <c r="B72" s="54"/>
      <c r="C72" s="54" t="s">
        <v>34</v>
      </c>
      <c r="D72" s="54">
        <v>1.4</v>
      </c>
      <c r="E72" s="54">
        <v>3</v>
      </c>
      <c r="F72" s="54">
        <f t="shared" si="8"/>
        <v>6.6000000000000005</v>
      </c>
      <c r="G72" s="55">
        <v>9.36</v>
      </c>
      <c r="H72">
        <f t="shared" si="9"/>
        <v>8.5553049296068409</v>
      </c>
      <c r="I72">
        <f t="shared" si="4"/>
        <v>0.6475341563150504</v>
      </c>
      <c r="K72">
        <f t="shared" si="5"/>
        <v>202892.23190532665</v>
      </c>
      <c r="M72" s="1">
        <f t="shared" si="2"/>
        <v>-0.80469507039315857</v>
      </c>
    </row>
    <row r="73" spans="1:13" x14ac:dyDescent="0.25">
      <c r="A73" s="53" t="s">
        <v>9</v>
      </c>
      <c r="B73" s="54"/>
      <c r="C73" s="54" t="s">
        <v>19</v>
      </c>
      <c r="D73" s="54">
        <v>2.6</v>
      </c>
      <c r="E73" s="54">
        <v>3.8</v>
      </c>
      <c r="F73" s="54">
        <f t="shared" ref="F73:F74" si="10">E73*(D73+D74)/2</f>
        <v>16.91</v>
      </c>
      <c r="G73" s="55">
        <v>48.934499999999993</v>
      </c>
      <c r="H73">
        <f t="shared" si="9"/>
        <v>26.062585980824295</v>
      </c>
      <c r="I73">
        <f t="shared" si="4"/>
        <v>523.12445090056588</v>
      </c>
      <c r="K73">
        <f t="shared" si="5"/>
        <v>168806.8454615814</v>
      </c>
      <c r="M73" s="1">
        <f t="shared" si="2"/>
        <v>-22.871914019175698</v>
      </c>
    </row>
    <row r="74" spans="1:13" x14ac:dyDescent="0.25">
      <c r="A74" s="53"/>
      <c r="B74" s="54"/>
      <c r="C74" s="54" t="s">
        <v>18</v>
      </c>
      <c r="D74" s="54">
        <v>6.3000000000000007</v>
      </c>
      <c r="E74" s="54">
        <v>2.4</v>
      </c>
      <c r="F74" s="54">
        <f t="shared" si="10"/>
        <v>14.879999999999999</v>
      </c>
      <c r="G74" s="55">
        <v>44.687999999999995</v>
      </c>
      <c r="H74">
        <f t="shared" si="9"/>
        <v>22.400481014845134</v>
      </c>
      <c r="I74">
        <f t="shared" si="4"/>
        <v>496.73350251363837</v>
      </c>
      <c r="K74">
        <f t="shared" si="5"/>
        <v>172314.32156647573</v>
      </c>
      <c r="M74" s="1">
        <f t="shared" si="2"/>
        <v>-22.287518985154861</v>
      </c>
    </row>
    <row r="75" spans="1:13" x14ac:dyDescent="0.25">
      <c r="A75" s="53"/>
      <c r="B75" s="54"/>
      <c r="C75" s="54" t="s">
        <v>17</v>
      </c>
      <c r="D75" s="54">
        <v>6.1</v>
      </c>
      <c r="E75" s="54"/>
      <c r="F75" s="54"/>
      <c r="G75" s="55"/>
      <c r="M75" s="1">
        <f t="shared" si="2"/>
        <v>0</v>
      </c>
    </row>
    <row r="76" spans="1:13" x14ac:dyDescent="0.25">
      <c r="A76" s="53" t="s">
        <v>10</v>
      </c>
      <c r="B76" s="54"/>
      <c r="C76" s="54" t="s">
        <v>19</v>
      </c>
      <c r="D76" s="54">
        <v>3</v>
      </c>
      <c r="E76" s="54">
        <v>0.7</v>
      </c>
      <c r="F76" s="54">
        <f t="shared" ref="F76:F77" si="11">E76*(D76+D77)/2</f>
        <v>2.6599999999999997</v>
      </c>
      <c r="G76" s="55">
        <v>5.9954999999999989</v>
      </c>
      <c r="H76">
        <f>L$2*F76^M$2</f>
        <v>2.9171269628369729</v>
      </c>
      <c r="I76">
        <f t="shared" si="4"/>
        <v>9.4763805559323124</v>
      </c>
      <c r="K76">
        <f t="shared" si="5"/>
        <v>205934.53293409545</v>
      </c>
      <c r="M76" s="1">
        <f t="shared" si="2"/>
        <v>-3.078373037163026</v>
      </c>
    </row>
    <row r="77" spans="1:13" x14ac:dyDescent="0.25">
      <c r="A77" s="53"/>
      <c r="B77" s="54"/>
      <c r="C77" s="54" t="s">
        <v>18</v>
      </c>
      <c r="D77" s="54">
        <v>4.5999999999999996</v>
      </c>
      <c r="E77" s="54">
        <v>3</v>
      </c>
      <c r="F77" s="54">
        <f t="shared" si="11"/>
        <v>16.5</v>
      </c>
      <c r="G77" s="55">
        <v>37.424999999999997</v>
      </c>
      <c r="H77">
        <f>L$2*F77^M$2</f>
        <v>25.316080246082006</v>
      </c>
      <c r="I77">
        <f t="shared" si="4"/>
        <v>146.62593760682535</v>
      </c>
      <c r="K77">
        <f t="shared" si="5"/>
        <v>178396.92576787161</v>
      </c>
      <c r="M77" s="1">
        <f t="shared" si="2"/>
        <v>-12.108919753917991</v>
      </c>
    </row>
    <row r="78" spans="1:13" x14ac:dyDescent="0.25">
      <c r="A78" s="53"/>
      <c r="B78" s="54"/>
      <c r="C78" s="54" t="s">
        <v>17</v>
      </c>
      <c r="D78" s="54">
        <v>6.4</v>
      </c>
      <c r="E78" s="54"/>
      <c r="F78" s="54"/>
      <c r="G78" s="55"/>
      <c r="M78" s="1">
        <f t="shared" si="2"/>
        <v>0</v>
      </c>
    </row>
    <row r="79" spans="1:13" x14ac:dyDescent="0.25">
      <c r="A79" s="53" t="s">
        <v>11</v>
      </c>
      <c r="B79" s="54"/>
      <c r="C79" s="54" t="s">
        <v>17</v>
      </c>
      <c r="D79" s="54">
        <v>17.100000000000001</v>
      </c>
      <c r="E79" s="54">
        <v>0</v>
      </c>
      <c r="F79" s="54"/>
      <c r="G79" s="55"/>
      <c r="M79" s="1">
        <f t="shared" si="2"/>
        <v>0</v>
      </c>
    </row>
    <row r="80" spans="1:13" x14ac:dyDescent="0.25">
      <c r="A80" s="53"/>
      <c r="B80" s="54"/>
      <c r="C80" s="54" t="s">
        <v>18</v>
      </c>
      <c r="D80" s="54">
        <v>18.850000000000001</v>
      </c>
      <c r="E80" s="54">
        <v>5.4</v>
      </c>
      <c r="F80" s="54">
        <f>E80*(D79+D80)/2</f>
        <v>97.065000000000012</v>
      </c>
      <c r="G80" s="55">
        <v>667.09710000000007</v>
      </c>
      <c r="H80">
        <f>L$2*F80^M$2</f>
        <v>206.33726125038078</v>
      </c>
      <c r="I80">
        <f t="shared" si="4"/>
        <v>212299.62900457517</v>
      </c>
      <c r="K80">
        <f t="shared" si="5"/>
        <v>42973.910909100909</v>
      </c>
      <c r="M80" s="1">
        <f t="shared" si="2"/>
        <v>-460.75983874961929</v>
      </c>
    </row>
    <row r="81" spans="1:14" x14ac:dyDescent="0.25">
      <c r="A81" s="53"/>
      <c r="B81" s="54"/>
      <c r="C81" s="54" t="s">
        <v>19</v>
      </c>
      <c r="D81" s="54">
        <v>11.1</v>
      </c>
      <c r="E81" s="54">
        <v>3.4</v>
      </c>
      <c r="F81" s="54">
        <f t="shared" ref="F81:F82" si="12">E81*(D80+D81)/2</f>
        <v>50.915000000000006</v>
      </c>
      <c r="G81" s="55">
        <v>358.57675</v>
      </c>
      <c r="H81">
        <f>L$2*F81^M$2</f>
        <v>96.117139930636981</v>
      </c>
      <c r="I81">
        <f t="shared" si="4"/>
        <v>68885.046917762083</v>
      </c>
      <c r="K81">
        <f t="shared" si="5"/>
        <v>10245.256080246216</v>
      </c>
      <c r="M81" s="1">
        <f t="shared" si="2"/>
        <v>-262.45961006936301</v>
      </c>
    </row>
    <row r="82" spans="1:14" x14ac:dyDescent="0.25">
      <c r="A82" s="53"/>
      <c r="B82" s="54"/>
      <c r="C82" s="54" t="s">
        <v>22</v>
      </c>
      <c r="D82" s="54">
        <v>5.9</v>
      </c>
      <c r="E82" s="54">
        <v>2.8</v>
      </c>
      <c r="F82" s="54">
        <f t="shared" si="12"/>
        <v>23.799999999999997</v>
      </c>
      <c r="G82" s="55">
        <v>149.47800000000004</v>
      </c>
      <c r="H82">
        <f>L$2*F82^M$2</f>
        <v>39.062729911514431</v>
      </c>
      <c r="I82">
        <f t="shared" si="4"/>
        <v>12191.531868713226</v>
      </c>
      <c r="K82">
        <f t="shared" si="5"/>
        <v>96297.014356443149</v>
      </c>
      <c r="M82" s="1">
        <f t="shared" si="2"/>
        <v>-110.41527008848561</v>
      </c>
    </row>
    <row r="83" spans="1:14" x14ac:dyDescent="0.25">
      <c r="A83" s="53" t="s">
        <v>12</v>
      </c>
      <c r="B83" s="54"/>
      <c r="C83" s="54" t="s">
        <v>18</v>
      </c>
      <c r="D83" s="54">
        <v>2.4</v>
      </c>
      <c r="E83" s="54">
        <v>2</v>
      </c>
      <c r="F83" s="54">
        <f t="shared" ref="F83" si="13">E83*(D83+D84)/2</f>
        <v>5</v>
      </c>
      <c r="G83" s="55">
        <v>9.2800000000000011</v>
      </c>
      <c r="H83">
        <f>L$2*F83^M$2</f>
        <v>6.1585143654235601</v>
      </c>
      <c r="I83">
        <f t="shared" si="4"/>
        <v>9.7436725668670867</v>
      </c>
      <c r="K83">
        <f t="shared" si="5"/>
        <v>202964.30800170996</v>
      </c>
      <c r="M83" s="1">
        <f t="shared" si="2"/>
        <v>-3.121485634576441</v>
      </c>
    </row>
    <row r="84" spans="1:14" x14ac:dyDescent="0.25">
      <c r="A84" s="53"/>
      <c r="B84" s="54"/>
      <c r="C84" s="54" t="s">
        <v>17</v>
      </c>
      <c r="D84" s="54">
        <v>2.6</v>
      </c>
      <c r="E84" s="54"/>
      <c r="F84" s="54"/>
      <c r="G84" s="55"/>
      <c r="M84" s="1"/>
    </row>
    <row r="85" spans="1:14" x14ac:dyDescent="0.25">
      <c r="A85" s="53" t="s">
        <v>13</v>
      </c>
      <c r="B85" s="54"/>
      <c r="C85" s="54" t="s">
        <v>18</v>
      </c>
      <c r="D85" s="54">
        <v>2.5</v>
      </c>
      <c r="E85" s="54">
        <v>1.5</v>
      </c>
      <c r="F85" s="54">
        <f t="shared" ref="F85" si="14">E85*(D85+D86)/2</f>
        <v>8.1000000000000014</v>
      </c>
      <c r="G85" s="55">
        <v>9.9487500000000004</v>
      </c>
      <c r="H85">
        <f>L$2*F85^M$2</f>
        <v>10.902892649535604</v>
      </c>
      <c r="I85">
        <f t="shared" si="4"/>
        <v>0.91038819566282081</v>
      </c>
      <c r="K85">
        <f t="shared" si="5"/>
        <v>202362.19061006853</v>
      </c>
      <c r="M85" s="1">
        <f t="shared" si="2"/>
        <v>0.95414264953560313</v>
      </c>
    </row>
    <row r="86" spans="1:14" x14ac:dyDescent="0.25">
      <c r="A86" s="53"/>
      <c r="B86" s="54"/>
      <c r="C86" s="54" t="s">
        <v>17</v>
      </c>
      <c r="D86" s="54">
        <v>8.3000000000000007</v>
      </c>
      <c r="E86" s="54"/>
      <c r="F86" s="54"/>
      <c r="G86" s="55"/>
    </row>
    <row r="87" spans="1:14" s="8" customFormat="1" ht="15.75" x14ac:dyDescent="0.25">
      <c r="A87" s="58"/>
      <c r="B87" s="59"/>
      <c r="C87" s="59"/>
      <c r="D87" s="59" t="s">
        <v>48</v>
      </c>
      <c r="E87" s="59"/>
      <c r="F87" s="59"/>
      <c r="G87" s="60">
        <f>SUM(G6:G85)</f>
        <v>31266.100962888693</v>
      </c>
      <c r="H87" s="8">
        <f>SUM(H6:H85)</f>
        <v>26910.001639504975</v>
      </c>
      <c r="I87" s="8">
        <f>SUM(I6:I85)</f>
        <v>1293572.8435452101</v>
      </c>
      <c r="K87" s="8">
        <f>SUM(K6:K85)</f>
        <v>20813855.351235848</v>
      </c>
      <c r="L87" s="8">
        <f>1-(I87/K87)</f>
        <v>0.93785039716496332</v>
      </c>
      <c r="M87" s="8">
        <f>SUM(M6:M85)</f>
        <v>-4356.0993233837235</v>
      </c>
      <c r="N87" s="8">
        <f>M87/G87</f>
        <v>-0.13932339464246588</v>
      </c>
    </row>
    <row r="88" spans="1:14" ht="15.75" thickBot="1" x14ac:dyDescent="0.3">
      <c r="A88" s="61"/>
      <c r="B88" s="62"/>
      <c r="C88" s="62"/>
      <c r="D88" s="62" t="s">
        <v>49</v>
      </c>
      <c r="E88" s="62"/>
      <c r="F88" s="62"/>
      <c r="G88" s="63">
        <f>AVERAGE(G6:G85)</f>
        <v>459.79560239542195</v>
      </c>
    </row>
  </sheetData>
  <mergeCells count="2">
    <mergeCell ref="M3:N3"/>
    <mergeCell ref="I3:L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tabSelected="1" topLeftCell="A55" workbookViewId="0">
      <selection activeCell="E6" sqref="E6"/>
    </sheetView>
  </sheetViews>
  <sheetFormatPr defaultRowHeight="15" x14ac:dyDescent="0.25"/>
  <cols>
    <col min="7" max="7" width="12" bestFit="1" customWidth="1"/>
  </cols>
  <sheetData>
    <row r="1" spans="2:9" ht="17.25" x14ac:dyDescent="0.25">
      <c r="B1" s="65" t="s">
        <v>116</v>
      </c>
      <c r="C1" s="65"/>
      <c r="D1" s="65"/>
      <c r="E1" s="65"/>
      <c r="F1" s="65"/>
      <c r="G1" t="s">
        <v>85</v>
      </c>
      <c r="H1">
        <v>0.91669999999999996</v>
      </c>
      <c r="I1">
        <v>1.1839999999999999</v>
      </c>
    </row>
    <row r="2" spans="2:9" x14ac:dyDescent="0.25">
      <c r="B2" s="66">
        <v>2005</v>
      </c>
      <c r="C2" s="66"/>
      <c r="D2" s="66"/>
      <c r="E2" s="66">
        <v>2013</v>
      </c>
      <c r="F2" s="66"/>
      <c r="G2" s="66"/>
    </row>
    <row r="3" spans="2:9" x14ac:dyDescent="0.25">
      <c r="B3" t="s">
        <v>104</v>
      </c>
      <c r="C3" t="s">
        <v>36</v>
      </c>
      <c r="D3" t="s">
        <v>53</v>
      </c>
      <c r="E3" t="s">
        <v>104</v>
      </c>
      <c r="F3" t="s">
        <v>36</v>
      </c>
      <c r="G3" t="s">
        <v>53</v>
      </c>
    </row>
    <row r="4" spans="2:9" x14ac:dyDescent="0.25">
      <c r="B4">
        <v>481.68094300000001</v>
      </c>
      <c r="C4">
        <v>3720.4248640000001</v>
      </c>
      <c r="D4">
        <f t="shared" ref="D4:D46" si="0">H$1*C4^I$1</f>
        <v>15481.348834503338</v>
      </c>
      <c r="E4">
        <v>50.123075</v>
      </c>
      <c r="F4">
        <v>119.532578</v>
      </c>
      <c r="G4">
        <f t="shared" ref="G4:G67" si="1">H$1*F4^I$1</f>
        <v>264.22322811103328</v>
      </c>
    </row>
    <row r="5" spans="2:9" x14ac:dyDescent="0.25">
      <c r="B5">
        <v>170.355434</v>
      </c>
      <c r="C5">
        <v>297.778749</v>
      </c>
      <c r="D5">
        <f t="shared" si="0"/>
        <v>778.60533184161136</v>
      </c>
      <c r="E5">
        <v>61.928004999999999</v>
      </c>
      <c r="F5">
        <v>79.908156000000005</v>
      </c>
      <c r="G5">
        <f t="shared" si="1"/>
        <v>164.0193566765011</v>
      </c>
    </row>
    <row r="6" spans="2:9" x14ac:dyDescent="0.25">
      <c r="B6">
        <v>1737.2539159999999</v>
      </c>
      <c r="C6">
        <v>7349.1329089999999</v>
      </c>
      <c r="D6">
        <f t="shared" si="0"/>
        <v>34661.773157952957</v>
      </c>
      <c r="E6">
        <v>44.663696999999999</v>
      </c>
      <c r="F6">
        <v>74.514430000000004</v>
      </c>
      <c r="G6">
        <f t="shared" si="1"/>
        <v>150.99405402248058</v>
      </c>
    </row>
    <row r="7" spans="2:9" x14ac:dyDescent="0.25">
      <c r="B7">
        <v>130.87165899999999</v>
      </c>
      <c r="C7">
        <v>267.40563500000002</v>
      </c>
      <c r="D7">
        <f t="shared" si="0"/>
        <v>685.48375690827243</v>
      </c>
      <c r="E7">
        <v>123.74437500000001</v>
      </c>
      <c r="F7">
        <v>110.135814</v>
      </c>
      <c r="G7">
        <f t="shared" si="1"/>
        <v>239.81185775256674</v>
      </c>
    </row>
    <row r="8" spans="2:9" x14ac:dyDescent="0.25">
      <c r="B8">
        <v>1117.111316</v>
      </c>
      <c r="C8">
        <v>4253.9010779999999</v>
      </c>
      <c r="D8">
        <f t="shared" si="0"/>
        <v>18143.100107598406</v>
      </c>
      <c r="E8">
        <v>78.629479000000003</v>
      </c>
      <c r="F8">
        <v>380.74269500000003</v>
      </c>
      <c r="G8">
        <f t="shared" si="1"/>
        <v>1041.5857307687588</v>
      </c>
    </row>
    <row r="9" spans="2:9" x14ac:dyDescent="0.25">
      <c r="B9">
        <v>158.734275</v>
      </c>
      <c r="C9">
        <v>507.33495499999998</v>
      </c>
      <c r="D9">
        <f t="shared" si="0"/>
        <v>1463.1749520012615</v>
      </c>
      <c r="E9">
        <v>152.236963</v>
      </c>
      <c r="F9">
        <v>252.32808</v>
      </c>
      <c r="G9">
        <f t="shared" si="1"/>
        <v>639.96243434386304</v>
      </c>
    </row>
    <row r="10" spans="2:9" x14ac:dyDescent="0.25">
      <c r="B10">
        <v>420.944075</v>
      </c>
      <c r="C10">
        <v>967.28958599999999</v>
      </c>
      <c r="D10">
        <f t="shared" si="0"/>
        <v>3141.4209933182651</v>
      </c>
      <c r="E10">
        <v>103.328034</v>
      </c>
      <c r="F10">
        <v>163.5693</v>
      </c>
      <c r="G10">
        <f t="shared" si="1"/>
        <v>383.0453166525981</v>
      </c>
    </row>
    <row r="11" spans="2:9" x14ac:dyDescent="0.25">
      <c r="B11">
        <v>196.429654</v>
      </c>
      <c r="C11">
        <v>390.30376799999999</v>
      </c>
      <c r="D11">
        <f t="shared" si="0"/>
        <v>1072.6254081434367</v>
      </c>
      <c r="E11">
        <v>41.745741000000002</v>
      </c>
      <c r="F11">
        <v>151.04871199999999</v>
      </c>
      <c r="G11">
        <f t="shared" si="1"/>
        <v>348.5794582308198</v>
      </c>
    </row>
    <row r="12" spans="2:9" x14ac:dyDescent="0.25">
      <c r="B12">
        <v>76.145831000000001</v>
      </c>
      <c r="C12">
        <v>152.356675</v>
      </c>
      <c r="D12">
        <f t="shared" si="0"/>
        <v>352.15611245304387</v>
      </c>
      <c r="E12">
        <v>59.177309999999999</v>
      </c>
      <c r="F12">
        <v>115.890676</v>
      </c>
      <c r="G12">
        <f t="shared" si="1"/>
        <v>254.71859514428996</v>
      </c>
    </row>
    <row r="13" spans="2:9" x14ac:dyDescent="0.25">
      <c r="B13">
        <v>95.870022000000006</v>
      </c>
      <c r="C13">
        <v>226.828159</v>
      </c>
      <c r="D13">
        <f t="shared" si="0"/>
        <v>564.12122640024484</v>
      </c>
      <c r="E13">
        <v>42.839615000000002</v>
      </c>
      <c r="F13">
        <v>462.873197</v>
      </c>
      <c r="G13">
        <f t="shared" si="1"/>
        <v>1312.6056789094928</v>
      </c>
    </row>
    <row r="14" spans="2:9" x14ac:dyDescent="0.25">
      <c r="B14">
        <v>81.779979999999995</v>
      </c>
      <c r="C14">
        <v>93.732099000000005</v>
      </c>
      <c r="D14">
        <f t="shared" si="0"/>
        <v>198.12671047087693</v>
      </c>
      <c r="E14">
        <v>172.13249300000001</v>
      </c>
      <c r="F14">
        <v>52.692283000000003</v>
      </c>
      <c r="G14">
        <f t="shared" si="1"/>
        <v>100.17877064727563</v>
      </c>
    </row>
    <row r="15" spans="2:9" x14ac:dyDescent="0.25">
      <c r="B15">
        <v>323.769925</v>
      </c>
      <c r="C15">
        <v>616.64433799999995</v>
      </c>
      <c r="D15">
        <f t="shared" si="0"/>
        <v>1843.4373104700676</v>
      </c>
      <c r="E15">
        <v>68.328788000000003</v>
      </c>
      <c r="F15">
        <v>61.593890999999999</v>
      </c>
      <c r="G15">
        <f t="shared" si="1"/>
        <v>120.51463708528516</v>
      </c>
    </row>
    <row r="16" spans="2:9" x14ac:dyDescent="0.25">
      <c r="B16">
        <v>371.57383600000003</v>
      </c>
      <c r="C16">
        <v>641.99757699999998</v>
      </c>
      <c r="D16">
        <f t="shared" si="0"/>
        <v>1933.5115196592037</v>
      </c>
      <c r="E16">
        <v>40.228724999999997</v>
      </c>
      <c r="F16">
        <v>73.733618000000007</v>
      </c>
      <c r="G16">
        <f t="shared" si="1"/>
        <v>149.12252069495415</v>
      </c>
    </row>
    <row r="17" spans="2:7" x14ac:dyDescent="0.25">
      <c r="B17">
        <v>394.106021</v>
      </c>
      <c r="C17">
        <v>418.56843600000002</v>
      </c>
      <c r="D17">
        <f t="shared" si="0"/>
        <v>1165.1953375499227</v>
      </c>
      <c r="E17">
        <v>85.262279000000007</v>
      </c>
      <c r="F17">
        <v>78.684209999999993</v>
      </c>
      <c r="G17">
        <f t="shared" si="1"/>
        <v>161.04903856209202</v>
      </c>
    </row>
    <row r="18" spans="2:7" x14ac:dyDescent="0.25">
      <c r="B18">
        <v>242.07818499999999</v>
      </c>
      <c r="C18">
        <v>643.15351599999997</v>
      </c>
      <c r="D18">
        <f t="shared" si="0"/>
        <v>1937.6341262501389</v>
      </c>
      <c r="E18">
        <v>61.809890000000003</v>
      </c>
      <c r="F18">
        <v>194.68408600000001</v>
      </c>
      <c r="G18">
        <f t="shared" si="1"/>
        <v>470.75450760345501</v>
      </c>
    </row>
    <row r="19" spans="2:7" x14ac:dyDescent="0.25">
      <c r="B19">
        <v>92.634388999999999</v>
      </c>
      <c r="C19">
        <v>2.8401149999999999</v>
      </c>
      <c r="D19">
        <f t="shared" si="0"/>
        <v>3.1548373022860217</v>
      </c>
      <c r="E19">
        <v>511.467803</v>
      </c>
      <c r="F19">
        <v>132.62714800000001</v>
      </c>
      <c r="G19">
        <f t="shared" si="1"/>
        <v>298.82988611239819</v>
      </c>
    </row>
    <row r="20" spans="2:7" x14ac:dyDescent="0.25">
      <c r="B20">
        <v>929.294894</v>
      </c>
      <c r="C20">
        <v>2425.585102</v>
      </c>
      <c r="D20">
        <f t="shared" si="0"/>
        <v>9329.3199370291077</v>
      </c>
      <c r="E20">
        <v>367.40365500000001</v>
      </c>
      <c r="F20">
        <v>131.90032400000001</v>
      </c>
      <c r="G20">
        <f t="shared" si="1"/>
        <v>296.89188859788368</v>
      </c>
    </row>
    <row r="21" spans="2:7" x14ac:dyDescent="0.25">
      <c r="B21">
        <v>730.38696100000004</v>
      </c>
      <c r="C21">
        <v>1355.809276</v>
      </c>
      <c r="D21">
        <f t="shared" si="0"/>
        <v>4685.4399348206371</v>
      </c>
      <c r="E21">
        <v>147.00032999999999</v>
      </c>
      <c r="F21">
        <v>49.937714999999997</v>
      </c>
      <c r="G21">
        <f t="shared" si="1"/>
        <v>94.008424087055332</v>
      </c>
    </row>
    <row r="22" spans="2:7" x14ac:dyDescent="0.25">
      <c r="B22">
        <v>486.76390900000001</v>
      </c>
      <c r="C22">
        <v>454.44126399999999</v>
      </c>
      <c r="D22">
        <f t="shared" si="0"/>
        <v>1284.3426306932456</v>
      </c>
      <c r="E22">
        <v>74.646686000000003</v>
      </c>
      <c r="F22">
        <v>826.91729799999996</v>
      </c>
      <c r="G22">
        <f t="shared" si="1"/>
        <v>2609.1697235085021</v>
      </c>
    </row>
    <row r="23" spans="2:7" x14ac:dyDescent="0.25">
      <c r="B23">
        <v>133.88550900000001</v>
      </c>
      <c r="C23">
        <v>188.964304</v>
      </c>
      <c r="D23">
        <f t="shared" si="0"/>
        <v>454.42360392261338</v>
      </c>
      <c r="E23">
        <v>449.42295300000001</v>
      </c>
      <c r="F23">
        <v>784.57452499999999</v>
      </c>
      <c r="G23">
        <f t="shared" si="1"/>
        <v>2451.7383886642679</v>
      </c>
    </row>
    <row r="24" spans="2:7" x14ac:dyDescent="0.25">
      <c r="B24">
        <v>236.40643600000001</v>
      </c>
      <c r="C24">
        <v>597.36775499999999</v>
      </c>
      <c r="D24">
        <f t="shared" si="0"/>
        <v>1775.4052285758917</v>
      </c>
      <c r="E24">
        <v>151.69942900000001</v>
      </c>
      <c r="F24">
        <v>335.69405599999999</v>
      </c>
      <c r="G24">
        <f t="shared" si="1"/>
        <v>897.31414656062225</v>
      </c>
    </row>
    <row r="25" spans="2:7" x14ac:dyDescent="0.25">
      <c r="B25">
        <v>538.48723099999995</v>
      </c>
      <c r="C25">
        <v>1284.1922500000001</v>
      </c>
      <c r="D25">
        <f t="shared" si="0"/>
        <v>4393.8497733830391</v>
      </c>
      <c r="E25">
        <v>629.75760000000002</v>
      </c>
      <c r="F25">
        <v>21.990082999999998</v>
      </c>
      <c r="G25">
        <f t="shared" si="1"/>
        <v>35.597856149483256</v>
      </c>
    </row>
    <row r="26" spans="2:7" x14ac:dyDescent="0.25">
      <c r="B26">
        <v>200.305001</v>
      </c>
      <c r="C26">
        <v>297.30113299999999</v>
      </c>
      <c r="D26">
        <f t="shared" si="0"/>
        <v>777.12693807077949</v>
      </c>
      <c r="E26">
        <v>94.368379000000004</v>
      </c>
      <c r="F26">
        <v>27.730654999999999</v>
      </c>
      <c r="G26">
        <f t="shared" si="1"/>
        <v>46.848104374582448</v>
      </c>
    </row>
    <row r="27" spans="2:7" x14ac:dyDescent="0.25">
      <c r="B27">
        <v>470.255989</v>
      </c>
      <c r="C27">
        <v>1057.121357</v>
      </c>
      <c r="D27">
        <f t="shared" si="0"/>
        <v>3489.7237581208869</v>
      </c>
      <c r="E27">
        <v>516.48278700000003</v>
      </c>
      <c r="F27">
        <v>129.74744699999999</v>
      </c>
      <c r="G27">
        <f t="shared" si="1"/>
        <v>291.16303357367599</v>
      </c>
    </row>
    <row r="28" spans="2:7" x14ac:dyDescent="0.25">
      <c r="B28">
        <v>436.35435999999999</v>
      </c>
      <c r="C28">
        <v>858.01758199999995</v>
      </c>
      <c r="D28">
        <f t="shared" si="0"/>
        <v>2725.7543701564682</v>
      </c>
      <c r="E28">
        <v>29.231439000000002</v>
      </c>
      <c r="F28">
        <v>1052.724453</v>
      </c>
      <c r="G28">
        <f t="shared" si="1"/>
        <v>3472.5447342589173</v>
      </c>
    </row>
    <row r="29" spans="2:7" x14ac:dyDescent="0.25">
      <c r="B29">
        <v>553.71190100000001</v>
      </c>
      <c r="C29">
        <v>486.04076900000001</v>
      </c>
      <c r="D29">
        <f t="shared" si="0"/>
        <v>1390.7456407996078</v>
      </c>
      <c r="E29">
        <v>219.74605099999999</v>
      </c>
      <c r="F29">
        <v>1118.8273369999999</v>
      </c>
      <c r="G29">
        <f t="shared" si="1"/>
        <v>3732.1810660590149</v>
      </c>
    </row>
    <row r="30" spans="2:7" x14ac:dyDescent="0.25">
      <c r="B30">
        <v>843.70631800000001</v>
      </c>
      <c r="C30">
        <v>746.86195899999996</v>
      </c>
      <c r="D30">
        <f t="shared" si="0"/>
        <v>2312.8304328394661</v>
      </c>
      <c r="E30">
        <v>71.258111</v>
      </c>
      <c r="F30">
        <v>825.452946</v>
      </c>
      <c r="G30">
        <f t="shared" si="1"/>
        <v>2603.6999839744271</v>
      </c>
    </row>
    <row r="31" spans="2:7" x14ac:dyDescent="0.25">
      <c r="B31">
        <v>65.255352999999999</v>
      </c>
      <c r="C31">
        <v>148.05433600000001</v>
      </c>
      <c r="D31">
        <f t="shared" si="0"/>
        <v>340.41277533190163</v>
      </c>
      <c r="E31">
        <v>541.37683400000003</v>
      </c>
      <c r="F31">
        <v>391.37898200000001</v>
      </c>
      <c r="G31">
        <f t="shared" si="1"/>
        <v>1076.1248752984095</v>
      </c>
    </row>
    <row r="32" spans="2:7" x14ac:dyDescent="0.25">
      <c r="B32">
        <v>53.478555999999998</v>
      </c>
      <c r="C32">
        <v>54.041018999999999</v>
      </c>
      <c r="D32">
        <f t="shared" si="0"/>
        <v>103.22190984945519</v>
      </c>
      <c r="E32">
        <v>237.634018</v>
      </c>
      <c r="F32">
        <v>383.89261399999998</v>
      </c>
      <c r="G32">
        <f t="shared" si="1"/>
        <v>1051.7961650969282</v>
      </c>
    </row>
    <row r="33" spans="1:7" x14ac:dyDescent="0.25">
      <c r="B33">
        <v>170.17906600000001</v>
      </c>
      <c r="C33">
        <v>496.43602800000002</v>
      </c>
      <c r="D33">
        <f t="shared" si="0"/>
        <v>1426.032322165109</v>
      </c>
      <c r="E33">
        <v>157.658267</v>
      </c>
      <c r="F33">
        <v>1154.1050319999999</v>
      </c>
      <c r="G33">
        <f t="shared" si="1"/>
        <v>3871.9140444199747</v>
      </c>
    </row>
    <row r="34" spans="1:7" x14ac:dyDescent="0.25">
      <c r="B34">
        <v>1008.618617</v>
      </c>
      <c r="C34">
        <v>4795.6849830000001</v>
      </c>
      <c r="D34">
        <f t="shared" si="0"/>
        <v>20910.017587961134</v>
      </c>
      <c r="E34">
        <v>128.24663699999999</v>
      </c>
      <c r="F34">
        <v>893.67314799999997</v>
      </c>
      <c r="G34">
        <f t="shared" si="1"/>
        <v>2860.3740066608057</v>
      </c>
    </row>
    <row r="35" spans="1:7" x14ac:dyDescent="0.25">
      <c r="B35">
        <v>168.626125</v>
      </c>
      <c r="C35">
        <v>531.59427500000004</v>
      </c>
      <c r="D35">
        <f t="shared" si="0"/>
        <v>1546.3731517286469</v>
      </c>
      <c r="E35">
        <v>49.004285000000003</v>
      </c>
      <c r="F35">
        <v>316.379572</v>
      </c>
      <c r="G35">
        <f t="shared" si="1"/>
        <v>836.51554800133158</v>
      </c>
    </row>
    <row r="36" spans="1:7" x14ac:dyDescent="0.25">
      <c r="B36">
        <v>300.76275099999998</v>
      </c>
      <c r="C36">
        <v>421.90876600000001</v>
      </c>
      <c r="D36">
        <f t="shared" si="0"/>
        <v>1176.2130488798389</v>
      </c>
      <c r="E36">
        <v>259.38616999999999</v>
      </c>
      <c r="F36">
        <v>204.34136699999999</v>
      </c>
      <c r="G36">
        <f t="shared" si="1"/>
        <v>498.52745850611933</v>
      </c>
    </row>
    <row r="37" spans="1:7" x14ac:dyDescent="0.25">
      <c r="B37">
        <v>691.47311400000001</v>
      </c>
      <c r="C37">
        <v>937.00812399999995</v>
      </c>
      <c r="D37">
        <f t="shared" si="0"/>
        <v>3025.3203257140858</v>
      </c>
      <c r="E37">
        <v>130.209945</v>
      </c>
      <c r="F37">
        <v>274.00660699999997</v>
      </c>
      <c r="G37">
        <f t="shared" si="1"/>
        <v>705.56380990572382</v>
      </c>
    </row>
    <row r="38" spans="1:7" x14ac:dyDescent="0.25">
      <c r="B38">
        <v>780.49762099999998</v>
      </c>
      <c r="C38">
        <v>1668.5160510000001</v>
      </c>
      <c r="D38">
        <f t="shared" si="0"/>
        <v>5990.5460611962371</v>
      </c>
      <c r="E38">
        <v>199.641121</v>
      </c>
      <c r="F38">
        <v>84.216032999999996</v>
      </c>
      <c r="G38">
        <f t="shared" si="1"/>
        <v>174.53987113853123</v>
      </c>
    </row>
    <row r="39" spans="1:7" x14ac:dyDescent="0.25">
      <c r="B39">
        <v>877.12154699999996</v>
      </c>
      <c r="C39">
        <v>1961.3794740000001</v>
      </c>
      <c r="D39">
        <f t="shared" si="0"/>
        <v>7254.712338393012</v>
      </c>
      <c r="E39">
        <v>80.930431999999996</v>
      </c>
      <c r="F39">
        <v>112.818476</v>
      </c>
      <c r="G39">
        <f t="shared" si="1"/>
        <v>246.74333036983742</v>
      </c>
    </row>
    <row r="40" spans="1:7" x14ac:dyDescent="0.25">
      <c r="B40">
        <v>188.32906800000001</v>
      </c>
      <c r="C40">
        <v>228.04869400000001</v>
      </c>
      <c r="D40">
        <f t="shared" si="0"/>
        <v>567.71699752177881</v>
      </c>
      <c r="E40">
        <v>557.37500699999998</v>
      </c>
      <c r="F40">
        <v>1069.111214</v>
      </c>
      <c r="G40">
        <f t="shared" si="1"/>
        <v>3536.6357046303597</v>
      </c>
    </row>
    <row r="41" spans="1:7" x14ac:dyDescent="0.25">
      <c r="B41">
        <v>132.551377</v>
      </c>
      <c r="C41">
        <v>181.481483</v>
      </c>
      <c r="D41">
        <f t="shared" si="0"/>
        <v>433.19625915630229</v>
      </c>
      <c r="E41">
        <v>75.371502000000007</v>
      </c>
      <c r="F41">
        <v>641.56104200000004</v>
      </c>
      <c r="G41">
        <f t="shared" si="1"/>
        <v>1931.9549915311927</v>
      </c>
    </row>
    <row r="42" spans="1:7" x14ac:dyDescent="0.25">
      <c r="B42">
        <v>72.525659000000005</v>
      </c>
      <c r="C42">
        <v>72.444205999999994</v>
      </c>
      <c r="D42">
        <f t="shared" si="0"/>
        <v>146.03991148754005</v>
      </c>
      <c r="E42">
        <v>321.92124200000001</v>
      </c>
      <c r="F42">
        <v>1090.4695509999999</v>
      </c>
      <c r="G42">
        <f t="shared" si="1"/>
        <v>3620.4426024341114</v>
      </c>
    </row>
    <row r="43" spans="1:7" x14ac:dyDescent="0.25">
      <c r="B43">
        <v>100.149739</v>
      </c>
      <c r="C43">
        <v>130.078048</v>
      </c>
      <c r="D43">
        <f t="shared" si="0"/>
        <v>292.0416412721375</v>
      </c>
      <c r="E43">
        <v>301.01386400000001</v>
      </c>
      <c r="F43">
        <v>769.15664000000004</v>
      </c>
      <c r="G43">
        <f t="shared" si="1"/>
        <v>2394.7972290015177</v>
      </c>
    </row>
    <row r="44" spans="1:7" x14ac:dyDescent="0.25">
      <c r="B44">
        <v>326.34814399999999</v>
      </c>
      <c r="C44">
        <v>204.81540100000001</v>
      </c>
      <c r="D44">
        <f t="shared" si="0"/>
        <v>499.89703598044264</v>
      </c>
      <c r="E44">
        <v>508.48473999999999</v>
      </c>
      <c r="F44">
        <v>103.083578</v>
      </c>
      <c r="G44">
        <f t="shared" si="1"/>
        <v>221.7397639372962</v>
      </c>
    </row>
    <row r="45" spans="1:7" x14ac:dyDescent="0.25">
      <c r="B45">
        <v>829.16301099999998</v>
      </c>
      <c r="C45">
        <v>2883.4045000000001</v>
      </c>
      <c r="D45">
        <f t="shared" si="0"/>
        <v>11448.680311909204</v>
      </c>
      <c r="E45">
        <v>1088.0059610000001</v>
      </c>
      <c r="F45">
        <v>331.15642600000001</v>
      </c>
      <c r="G45">
        <f t="shared" si="1"/>
        <v>882.97117193292263</v>
      </c>
    </row>
    <row r="46" spans="1:7" x14ac:dyDescent="0.25">
      <c r="B46">
        <v>70.877081000000004</v>
      </c>
      <c r="C46">
        <v>83.193421999999998</v>
      </c>
      <c r="D46">
        <f t="shared" si="0"/>
        <v>172.03332914013555</v>
      </c>
      <c r="E46">
        <v>372.73803199999998</v>
      </c>
      <c r="F46">
        <v>156.90902</v>
      </c>
      <c r="G46">
        <f t="shared" si="1"/>
        <v>364.64843730451855</v>
      </c>
    </row>
    <row r="47" spans="1:7" ht="15.75" x14ac:dyDescent="0.25">
      <c r="A47" t="s">
        <v>78</v>
      </c>
      <c r="B47" s="49">
        <f>SUM(B4:B46)</f>
        <v>17486.854799000001</v>
      </c>
      <c r="C47" s="49">
        <f>SUM(C4:C46)</f>
        <v>45099.484020000004</v>
      </c>
      <c r="D47" s="49">
        <f>SUM(D4:D46)</f>
        <v>171376.28697892211</v>
      </c>
      <c r="E47">
        <v>232.15612899999999</v>
      </c>
      <c r="F47">
        <v>1367.0289809999999</v>
      </c>
      <c r="G47">
        <f t="shared" si="1"/>
        <v>4731.3824415329645</v>
      </c>
    </row>
    <row r="48" spans="1:7" ht="15.75" x14ac:dyDescent="0.25">
      <c r="A48" t="s">
        <v>103</v>
      </c>
      <c r="B48" s="49">
        <f>B47/2</f>
        <v>8743.4273995000003</v>
      </c>
      <c r="C48" s="49"/>
      <c r="D48" s="49"/>
      <c r="E48">
        <v>460.44649800000002</v>
      </c>
      <c r="F48">
        <v>62.617103</v>
      </c>
      <c r="G48">
        <f t="shared" si="1"/>
        <v>122.88863180525033</v>
      </c>
    </row>
    <row r="49" spans="1:7" x14ac:dyDescent="0.25">
      <c r="A49" t="s">
        <v>106</v>
      </c>
      <c r="C49" s="3"/>
      <c r="D49" s="3">
        <f>D47*1.21</f>
        <v>207365.30724449575</v>
      </c>
      <c r="E49">
        <v>626.41544199999998</v>
      </c>
      <c r="F49">
        <v>93.227125999999998</v>
      </c>
      <c r="G49">
        <f t="shared" si="1"/>
        <v>196.86354884821031</v>
      </c>
    </row>
    <row r="50" spans="1:7" x14ac:dyDescent="0.25">
      <c r="E50">
        <v>571.05080499999997</v>
      </c>
      <c r="F50">
        <v>33.062643999999999</v>
      </c>
      <c r="G50">
        <f t="shared" si="1"/>
        <v>57.692974034965204</v>
      </c>
    </row>
    <row r="51" spans="1:7" x14ac:dyDescent="0.25">
      <c r="E51">
        <v>198.105718</v>
      </c>
      <c r="F51">
        <v>120.16979499999999</v>
      </c>
      <c r="G51">
        <f t="shared" si="1"/>
        <v>265.89176725898216</v>
      </c>
    </row>
    <row r="52" spans="1:7" x14ac:dyDescent="0.25">
      <c r="E52">
        <v>180.27302900000001</v>
      </c>
      <c r="F52">
        <v>123.482292</v>
      </c>
      <c r="G52">
        <f t="shared" si="1"/>
        <v>274.59155394999743</v>
      </c>
    </row>
    <row r="53" spans="1:7" x14ac:dyDescent="0.25">
      <c r="E53">
        <v>141.699479</v>
      </c>
      <c r="F53">
        <v>177.48625699999999</v>
      </c>
      <c r="G53">
        <f t="shared" si="1"/>
        <v>421.92792760133358</v>
      </c>
    </row>
    <row r="54" spans="1:7" x14ac:dyDescent="0.25">
      <c r="E54">
        <v>95.344247999999993</v>
      </c>
      <c r="F54">
        <v>530.92168600000002</v>
      </c>
      <c r="G54">
        <f t="shared" si="1"/>
        <v>1544.0569045912519</v>
      </c>
    </row>
    <row r="55" spans="1:7" x14ac:dyDescent="0.25">
      <c r="E55">
        <v>139.08531400000001</v>
      </c>
      <c r="F55">
        <v>286.92195800000002</v>
      </c>
      <c r="G55">
        <f t="shared" si="1"/>
        <v>745.10856189128901</v>
      </c>
    </row>
    <row r="56" spans="1:7" x14ac:dyDescent="0.25">
      <c r="E56">
        <v>144.45956899999999</v>
      </c>
      <c r="F56">
        <v>6050.9514490000001</v>
      </c>
      <c r="G56">
        <f t="shared" si="1"/>
        <v>27536.355168121405</v>
      </c>
    </row>
    <row r="57" spans="1:7" x14ac:dyDescent="0.25">
      <c r="E57">
        <v>16.197303000000002</v>
      </c>
      <c r="F57">
        <v>507.96622000000002</v>
      </c>
      <c r="G57">
        <f t="shared" si="1"/>
        <v>1465.3307823466482</v>
      </c>
    </row>
    <row r="58" spans="1:7" x14ac:dyDescent="0.25">
      <c r="E58">
        <v>101.29526799999999</v>
      </c>
      <c r="F58">
        <v>601.90135199999997</v>
      </c>
      <c r="G58">
        <f t="shared" si="1"/>
        <v>1791.3696371629921</v>
      </c>
    </row>
    <row r="59" spans="1:7" x14ac:dyDescent="0.25">
      <c r="E59">
        <v>253.147189</v>
      </c>
      <c r="F59">
        <v>464.87769600000001</v>
      </c>
      <c r="G59">
        <f t="shared" si="1"/>
        <v>1319.3385853844907</v>
      </c>
    </row>
    <row r="60" spans="1:7" x14ac:dyDescent="0.25">
      <c r="E60">
        <v>180.51555400000001</v>
      </c>
      <c r="F60">
        <v>222.63827599999999</v>
      </c>
      <c r="G60">
        <f t="shared" si="1"/>
        <v>551.80474479237034</v>
      </c>
    </row>
    <row r="61" spans="1:7" x14ac:dyDescent="0.25">
      <c r="E61">
        <v>302.68444099999999</v>
      </c>
      <c r="F61">
        <v>38.056061999999997</v>
      </c>
      <c r="G61">
        <f t="shared" si="1"/>
        <v>68.147364526777096</v>
      </c>
    </row>
    <row r="62" spans="1:7" x14ac:dyDescent="0.25">
      <c r="E62">
        <v>324.16280699999999</v>
      </c>
      <c r="F62">
        <v>1320.881216</v>
      </c>
      <c r="G62">
        <f t="shared" si="1"/>
        <v>4542.8660152790635</v>
      </c>
    </row>
    <row r="63" spans="1:7" x14ac:dyDescent="0.25">
      <c r="E63">
        <v>225.92693499999999</v>
      </c>
      <c r="F63">
        <v>119.460244</v>
      </c>
      <c r="G63">
        <f t="shared" si="1"/>
        <v>264.03392632602993</v>
      </c>
    </row>
    <row r="64" spans="1:7" x14ac:dyDescent="0.25">
      <c r="E64">
        <v>70.649361999999996</v>
      </c>
      <c r="F64">
        <v>180.29078799999999</v>
      </c>
      <c r="G64">
        <f t="shared" si="1"/>
        <v>429.83314261139355</v>
      </c>
    </row>
    <row r="65" spans="5:7" x14ac:dyDescent="0.25">
      <c r="E65">
        <v>97.441402999999994</v>
      </c>
      <c r="F65">
        <v>616.99930700000004</v>
      </c>
      <c r="G65">
        <f t="shared" si="1"/>
        <v>1844.6937996419024</v>
      </c>
    </row>
    <row r="66" spans="5:7" x14ac:dyDescent="0.25">
      <c r="E66">
        <v>133.70481599999999</v>
      </c>
      <c r="F66">
        <v>162.073238</v>
      </c>
      <c r="G66">
        <f t="shared" si="1"/>
        <v>378.90071166557726</v>
      </c>
    </row>
    <row r="67" spans="5:7" x14ac:dyDescent="0.25">
      <c r="E67">
        <v>107.658074</v>
      </c>
      <c r="F67">
        <v>475.88611700000001</v>
      </c>
      <c r="G67">
        <f t="shared" si="1"/>
        <v>1356.4095073831284</v>
      </c>
    </row>
    <row r="68" spans="5:7" x14ac:dyDescent="0.25">
      <c r="E68">
        <v>238.18893199999999</v>
      </c>
      <c r="F68">
        <v>233.218772</v>
      </c>
      <c r="G68">
        <f t="shared" ref="G68:G131" si="2">H$1*F68^I$1</f>
        <v>582.98746962990822</v>
      </c>
    </row>
    <row r="69" spans="5:7" x14ac:dyDescent="0.25">
      <c r="E69">
        <v>193.28159099999999</v>
      </c>
      <c r="F69">
        <v>244.678718</v>
      </c>
      <c r="G69">
        <f t="shared" si="2"/>
        <v>617.05677895196584</v>
      </c>
    </row>
    <row r="70" spans="5:7" x14ac:dyDescent="0.25">
      <c r="E70">
        <v>40.028309999999998</v>
      </c>
      <c r="F70">
        <v>324.03295200000002</v>
      </c>
      <c r="G70">
        <f t="shared" si="2"/>
        <v>860.52762601657957</v>
      </c>
    </row>
    <row r="71" spans="5:7" x14ac:dyDescent="0.25">
      <c r="E71">
        <v>397.20223199999998</v>
      </c>
      <c r="F71">
        <v>142.02880300000001</v>
      </c>
      <c r="G71">
        <f t="shared" si="2"/>
        <v>324.07156079538953</v>
      </c>
    </row>
    <row r="72" spans="5:7" x14ac:dyDescent="0.25">
      <c r="E72">
        <v>214.82769200000001</v>
      </c>
      <c r="F72">
        <v>355.77366000000001</v>
      </c>
      <c r="G72">
        <f t="shared" si="2"/>
        <v>961.20716751609837</v>
      </c>
    </row>
    <row r="73" spans="5:7" x14ac:dyDescent="0.25">
      <c r="E73">
        <v>319.59744999999998</v>
      </c>
      <c r="F73">
        <v>1705.6599960000001</v>
      </c>
      <c r="G73">
        <f t="shared" si="2"/>
        <v>6148.765190019878</v>
      </c>
    </row>
    <row r="74" spans="5:7" x14ac:dyDescent="0.25">
      <c r="E74">
        <v>111.80379600000001</v>
      </c>
      <c r="F74">
        <v>1207.532021</v>
      </c>
      <c r="G74">
        <f t="shared" si="2"/>
        <v>4085.0299045799384</v>
      </c>
    </row>
    <row r="75" spans="5:7" x14ac:dyDescent="0.25">
      <c r="E75">
        <v>194.14320900000001</v>
      </c>
      <c r="F75">
        <v>401.659853</v>
      </c>
      <c r="G75">
        <f t="shared" si="2"/>
        <v>1109.6745008670675</v>
      </c>
    </row>
    <row r="76" spans="5:7" x14ac:dyDescent="0.25">
      <c r="E76">
        <v>436.68085500000001</v>
      </c>
      <c r="F76">
        <v>202.45586599999999</v>
      </c>
      <c r="G76">
        <f t="shared" si="2"/>
        <v>493.08567201332704</v>
      </c>
    </row>
    <row r="77" spans="5:7" x14ac:dyDescent="0.25">
      <c r="E77">
        <v>225.01306299999999</v>
      </c>
      <c r="F77">
        <v>86.882187000000002</v>
      </c>
      <c r="G77">
        <f t="shared" si="2"/>
        <v>181.10116028692721</v>
      </c>
    </row>
    <row r="78" spans="5:7" x14ac:dyDescent="0.25">
      <c r="E78">
        <v>410.906972</v>
      </c>
      <c r="F78">
        <v>33.898910000000001</v>
      </c>
      <c r="G78">
        <f t="shared" si="2"/>
        <v>59.424719487580461</v>
      </c>
    </row>
    <row r="79" spans="5:7" x14ac:dyDescent="0.25">
      <c r="E79">
        <v>165.56950399999999</v>
      </c>
      <c r="F79">
        <v>39.606807000000003</v>
      </c>
      <c r="G79">
        <f t="shared" si="2"/>
        <v>71.447446605836944</v>
      </c>
    </row>
    <row r="80" spans="5:7" x14ac:dyDescent="0.25">
      <c r="E80">
        <v>314.90305699999999</v>
      </c>
      <c r="F80">
        <v>96.521356999999995</v>
      </c>
      <c r="G80">
        <f t="shared" si="2"/>
        <v>205.12630617472547</v>
      </c>
    </row>
    <row r="81" spans="5:7" x14ac:dyDescent="0.25">
      <c r="E81">
        <v>1011.432426</v>
      </c>
      <c r="F81">
        <v>110.36021100000001</v>
      </c>
      <c r="G81">
        <f t="shared" si="2"/>
        <v>240.39047608647078</v>
      </c>
    </row>
    <row r="82" spans="5:7" x14ac:dyDescent="0.25">
      <c r="E82">
        <v>1395.5689150000001</v>
      </c>
      <c r="F82">
        <v>348.10769900000003</v>
      </c>
      <c r="G82">
        <f t="shared" si="2"/>
        <v>936.73374927074053</v>
      </c>
    </row>
    <row r="83" spans="5:7" x14ac:dyDescent="0.25">
      <c r="E83">
        <v>734.18514800000003</v>
      </c>
      <c r="F83">
        <v>150.20512500000001</v>
      </c>
      <c r="G83">
        <f t="shared" si="2"/>
        <v>346.27566868168304</v>
      </c>
    </row>
    <row r="84" spans="5:7" x14ac:dyDescent="0.25">
      <c r="E84">
        <v>79.205719000000002</v>
      </c>
      <c r="F84">
        <v>457.49088499999999</v>
      </c>
      <c r="G84">
        <f t="shared" si="2"/>
        <v>1294.5536304873099</v>
      </c>
    </row>
    <row r="85" spans="5:7" x14ac:dyDescent="0.25">
      <c r="E85">
        <v>64.694346999999993</v>
      </c>
      <c r="F85">
        <v>143.78879699999999</v>
      </c>
      <c r="G85">
        <f t="shared" si="2"/>
        <v>328.8317099359985</v>
      </c>
    </row>
    <row r="86" spans="5:7" x14ac:dyDescent="0.25">
      <c r="E86">
        <v>131.45626999999999</v>
      </c>
      <c r="F86">
        <v>91.489382000000006</v>
      </c>
      <c r="G86">
        <f t="shared" si="2"/>
        <v>192.52633035415786</v>
      </c>
    </row>
    <row r="87" spans="5:7" x14ac:dyDescent="0.25">
      <c r="E87">
        <v>71.292051000000001</v>
      </c>
      <c r="F87">
        <v>27.198245</v>
      </c>
      <c r="G87">
        <f t="shared" si="2"/>
        <v>45.785043918508649</v>
      </c>
    </row>
    <row r="88" spans="5:7" x14ac:dyDescent="0.25">
      <c r="E88">
        <v>441.72938699999997</v>
      </c>
      <c r="F88">
        <v>34.115741999999997</v>
      </c>
      <c r="G88">
        <f t="shared" si="2"/>
        <v>59.875029430226391</v>
      </c>
    </row>
    <row r="89" spans="5:7" x14ac:dyDescent="0.25">
      <c r="E89">
        <v>122.85067100000001</v>
      </c>
      <c r="F89">
        <v>4359.5305539999999</v>
      </c>
      <c r="G89">
        <f t="shared" si="2"/>
        <v>18677.720263539071</v>
      </c>
    </row>
    <row r="90" spans="5:7" x14ac:dyDescent="0.25">
      <c r="E90">
        <v>978.34397200000001</v>
      </c>
      <c r="F90">
        <v>676.84162500000002</v>
      </c>
      <c r="G90">
        <f t="shared" si="2"/>
        <v>2058.3722096171095</v>
      </c>
    </row>
    <row r="91" spans="5:7" x14ac:dyDescent="0.25">
      <c r="E91">
        <v>270.36461500000001</v>
      </c>
      <c r="F91">
        <v>550.43491600000004</v>
      </c>
      <c r="G91">
        <f t="shared" si="2"/>
        <v>1611.4732681841006</v>
      </c>
    </row>
    <row r="92" spans="5:7" x14ac:dyDescent="0.25">
      <c r="E92">
        <v>165.815371</v>
      </c>
      <c r="F92">
        <v>123.16427</v>
      </c>
      <c r="G92">
        <f t="shared" si="2"/>
        <v>273.75443268715924</v>
      </c>
    </row>
    <row r="93" spans="5:7" x14ac:dyDescent="0.25">
      <c r="E93">
        <v>97.435186999999999</v>
      </c>
      <c r="F93">
        <v>625.46512800000005</v>
      </c>
      <c r="G93">
        <f t="shared" si="2"/>
        <v>1874.6996708821605</v>
      </c>
    </row>
    <row r="94" spans="5:7" x14ac:dyDescent="0.25">
      <c r="E94">
        <v>301.15704199999999</v>
      </c>
      <c r="F94">
        <v>162.34884500000001</v>
      </c>
      <c r="G94">
        <f t="shared" si="2"/>
        <v>379.66371066008998</v>
      </c>
    </row>
    <row r="95" spans="5:7" x14ac:dyDescent="0.25">
      <c r="E95">
        <v>230.60353000000001</v>
      </c>
      <c r="F95">
        <v>475.39000800000002</v>
      </c>
      <c r="G95">
        <f t="shared" si="2"/>
        <v>1354.7354323049126</v>
      </c>
    </row>
    <row r="96" spans="5:7" x14ac:dyDescent="0.25">
      <c r="E96">
        <v>57.226318999999997</v>
      </c>
      <c r="F96">
        <v>101.902979</v>
      </c>
      <c r="G96">
        <f t="shared" si="2"/>
        <v>218.73611663454369</v>
      </c>
    </row>
    <row r="97" spans="5:7" x14ac:dyDescent="0.25">
      <c r="E97">
        <v>912.10985800000003</v>
      </c>
      <c r="F97">
        <v>61.000990000000002</v>
      </c>
      <c r="G97">
        <f t="shared" si="2"/>
        <v>119.14233332590044</v>
      </c>
    </row>
    <row r="98" spans="5:7" x14ac:dyDescent="0.25">
      <c r="E98">
        <v>345.96107000000001</v>
      </c>
      <c r="F98">
        <v>131.03087600000001</v>
      </c>
      <c r="G98">
        <f t="shared" si="2"/>
        <v>294.57618026070918</v>
      </c>
    </row>
    <row r="99" spans="5:7" x14ac:dyDescent="0.25">
      <c r="E99">
        <v>917.31921</v>
      </c>
      <c r="F99">
        <v>57.217236999999997</v>
      </c>
      <c r="G99">
        <f t="shared" si="2"/>
        <v>110.44321989312014</v>
      </c>
    </row>
    <row r="100" spans="5:7" x14ac:dyDescent="0.25">
      <c r="E100">
        <v>635.635131</v>
      </c>
      <c r="F100">
        <v>114.46456499999999</v>
      </c>
      <c r="G100">
        <f t="shared" si="2"/>
        <v>251.01158667968099</v>
      </c>
    </row>
    <row r="101" spans="5:7" x14ac:dyDescent="0.25">
      <c r="E101">
        <v>626.17534599999999</v>
      </c>
      <c r="F101">
        <v>186.23767900000001</v>
      </c>
      <c r="G101">
        <f t="shared" si="2"/>
        <v>446.67043875468505</v>
      </c>
    </row>
    <row r="102" spans="5:7" x14ac:dyDescent="0.25">
      <c r="E102">
        <v>744.44002999999998</v>
      </c>
      <c r="F102">
        <v>250.76080099999999</v>
      </c>
      <c r="G102">
        <f t="shared" si="2"/>
        <v>635.25874910586617</v>
      </c>
    </row>
    <row r="103" spans="5:7" x14ac:dyDescent="0.25">
      <c r="E103">
        <v>757.60895600000003</v>
      </c>
      <c r="F103">
        <v>314.18382400000002</v>
      </c>
      <c r="G103">
        <f t="shared" si="2"/>
        <v>829.64609953605895</v>
      </c>
    </row>
    <row r="104" spans="5:7" x14ac:dyDescent="0.25">
      <c r="E104">
        <v>501.27251100000001</v>
      </c>
      <c r="F104">
        <v>297.08240699999999</v>
      </c>
      <c r="G104">
        <f t="shared" si="2"/>
        <v>776.45004805181247</v>
      </c>
    </row>
    <row r="105" spans="5:7" x14ac:dyDescent="0.25">
      <c r="E105">
        <v>614.34208699999999</v>
      </c>
      <c r="F105">
        <v>887.64836400000002</v>
      </c>
      <c r="G105">
        <f t="shared" si="2"/>
        <v>2837.5565435547364</v>
      </c>
    </row>
    <row r="106" spans="5:7" x14ac:dyDescent="0.25">
      <c r="E106">
        <v>161.806454</v>
      </c>
      <c r="F106">
        <v>260.38079399999998</v>
      </c>
      <c r="G106">
        <f t="shared" si="2"/>
        <v>664.21430492185959</v>
      </c>
    </row>
    <row r="107" spans="5:7" x14ac:dyDescent="0.25">
      <c r="E107">
        <v>84.117334</v>
      </c>
      <c r="F107">
        <v>73.234262000000001</v>
      </c>
      <c r="G107">
        <f t="shared" si="2"/>
        <v>147.92751908988444</v>
      </c>
    </row>
    <row r="108" spans="5:7" x14ac:dyDescent="0.25">
      <c r="E108">
        <v>96.816291000000007</v>
      </c>
      <c r="F108">
        <v>1102.902885</v>
      </c>
      <c r="G108">
        <f t="shared" si="2"/>
        <v>3669.3687863902564</v>
      </c>
    </row>
    <row r="109" spans="5:7" x14ac:dyDescent="0.25">
      <c r="E109">
        <v>533.50846899999999</v>
      </c>
      <c r="F109">
        <v>135.29284899999999</v>
      </c>
      <c r="G109">
        <f t="shared" si="2"/>
        <v>305.95435866080823</v>
      </c>
    </row>
    <row r="110" spans="5:7" x14ac:dyDescent="0.25">
      <c r="E110">
        <v>129.702133</v>
      </c>
      <c r="F110">
        <v>299.44453499999997</v>
      </c>
      <c r="G110">
        <f t="shared" si="2"/>
        <v>783.76495158948057</v>
      </c>
    </row>
    <row r="111" spans="5:7" x14ac:dyDescent="0.25">
      <c r="E111">
        <v>63.121471999999997</v>
      </c>
      <c r="F111">
        <v>83.614422000000005</v>
      </c>
      <c r="G111">
        <f t="shared" si="2"/>
        <v>173.06456800337028</v>
      </c>
    </row>
    <row r="112" spans="5:7" x14ac:dyDescent="0.25">
      <c r="E112">
        <v>108.215582</v>
      </c>
      <c r="F112">
        <v>483.10897899999998</v>
      </c>
      <c r="G112">
        <f t="shared" si="2"/>
        <v>1380.8186390711255</v>
      </c>
    </row>
    <row r="113" spans="5:7" x14ac:dyDescent="0.25">
      <c r="E113">
        <v>125.6932</v>
      </c>
      <c r="F113">
        <v>159.41641799999999</v>
      </c>
      <c r="G113">
        <f t="shared" si="2"/>
        <v>371.55777921718732</v>
      </c>
    </row>
    <row r="114" spans="5:7" x14ac:dyDescent="0.25">
      <c r="E114">
        <v>36.789351000000003</v>
      </c>
      <c r="F114">
        <v>338.10828400000003</v>
      </c>
      <c r="G114">
        <f t="shared" si="2"/>
        <v>904.95985161313217</v>
      </c>
    </row>
    <row r="115" spans="5:7" x14ac:dyDescent="0.25">
      <c r="E115">
        <v>22.921762000000001</v>
      </c>
      <c r="F115">
        <v>219.53760399999999</v>
      </c>
      <c r="G115">
        <f t="shared" si="2"/>
        <v>542.71745879317791</v>
      </c>
    </row>
    <row r="116" spans="5:7" x14ac:dyDescent="0.25">
      <c r="E116">
        <v>78.600189999999998</v>
      </c>
      <c r="F116">
        <v>2255.5635480000001</v>
      </c>
      <c r="G116">
        <f t="shared" si="2"/>
        <v>8560.1471657645016</v>
      </c>
    </row>
    <row r="117" spans="5:7" x14ac:dyDescent="0.25">
      <c r="E117">
        <v>478.64883300000002</v>
      </c>
      <c r="F117">
        <v>199.923148</v>
      </c>
      <c r="G117">
        <f t="shared" si="2"/>
        <v>485.79061450063227</v>
      </c>
    </row>
    <row r="118" spans="5:7" x14ac:dyDescent="0.25">
      <c r="E118">
        <v>320.04116399999998</v>
      </c>
      <c r="F118">
        <v>150.762159</v>
      </c>
      <c r="G118">
        <f t="shared" si="2"/>
        <v>347.7966316170066</v>
      </c>
    </row>
    <row r="119" spans="5:7" x14ac:dyDescent="0.25">
      <c r="E119">
        <v>229.94282100000001</v>
      </c>
      <c r="F119">
        <v>138.05330799999999</v>
      </c>
      <c r="G119">
        <f t="shared" si="2"/>
        <v>313.35935408020339</v>
      </c>
    </row>
    <row r="120" spans="5:7" x14ac:dyDescent="0.25">
      <c r="E120">
        <v>126.57871900000001</v>
      </c>
      <c r="F120">
        <v>170.418171</v>
      </c>
      <c r="G120">
        <f t="shared" si="2"/>
        <v>402.10739202761164</v>
      </c>
    </row>
    <row r="121" spans="5:7" x14ac:dyDescent="0.25">
      <c r="E121">
        <v>315.40339399999999</v>
      </c>
      <c r="F121">
        <v>250.00189499999999</v>
      </c>
      <c r="G121">
        <f t="shared" si="2"/>
        <v>632.98307714611383</v>
      </c>
    </row>
    <row r="122" spans="5:7" x14ac:dyDescent="0.25">
      <c r="E122">
        <v>352.06272100000001</v>
      </c>
      <c r="F122">
        <v>147.34376700000001</v>
      </c>
      <c r="G122">
        <f t="shared" si="2"/>
        <v>338.47924662038497</v>
      </c>
    </row>
    <row r="123" spans="5:7" x14ac:dyDescent="0.25">
      <c r="E123">
        <v>129.45073600000001</v>
      </c>
      <c r="F123">
        <v>331.96474499999999</v>
      </c>
      <c r="G123">
        <f t="shared" si="2"/>
        <v>885.5235516105588</v>
      </c>
    </row>
    <row r="124" spans="5:7" x14ac:dyDescent="0.25">
      <c r="E124">
        <v>144.48532399999999</v>
      </c>
      <c r="F124">
        <v>89.217400999999995</v>
      </c>
      <c r="G124">
        <f t="shared" si="2"/>
        <v>186.87857740090936</v>
      </c>
    </row>
    <row r="125" spans="5:7" x14ac:dyDescent="0.25">
      <c r="E125">
        <v>231.454453</v>
      </c>
      <c r="F125">
        <v>745.99808800000005</v>
      </c>
      <c r="G125">
        <f t="shared" si="2"/>
        <v>2309.663361694269</v>
      </c>
    </row>
    <row r="126" spans="5:7" x14ac:dyDescent="0.25">
      <c r="E126">
        <v>85.798494000000005</v>
      </c>
      <c r="F126">
        <v>351.59977600000002</v>
      </c>
      <c r="G126">
        <f t="shared" si="2"/>
        <v>947.86996392770675</v>
      </c>
    </row>
    <row r="127" spans="5:7" x14ac:dyDescent="0.25">
      <c r="E127">
        <v>86.447434999999999</v>
      </c>
      <c r="F127">
        <v>78.312147999999993</v>
      </c>
      <c r="G127">
        <f t="shared" si="2"/>
        <v>160.1477821821764</v>
      </c>
    </row>
    <row r="128" spans="5:7" x14ac:dyDescent="0.25">
      <c r="E128">
        <v>186.74357699999999</v>
      </c>
      <c r="F128">
        <v>812.42935299999999</v>
      </c>
      <c r="G128">
        <f t="shared" si="2"/>
        <v>2555.1322816687934</v>
      </c>
    </row>
    <row r="129" spans="5:7" x14ac:dyDescent="0.25">
      <c r="E129">
        <v>43.086646000000002</v>
      </c>
      <c r="F129">
        <v>723.27098899999999</v>
      </c>
      <c r="G129">
        <f t="shared" si="2"/>
        <v>2226.5870008460574</v>
      </c>
    </row>
    <row r="130" spans="5:7" x14ac:dyDescent="0.25">
      <c r="E130">
        <v>134.919341</v>
      </c>
      <c r="F130">
        <v>51.278734</v>
      </c>
      <c r="G130">
        <f t="shared" si="2"/>
        <v>97.004747167853068</v>
      </c>
    </row>
    <row r="131" spans="5:7" x14ac:dyDescent="0.25">
      <c r="E131">
        <v>63.594991999999998</v>
      </c>
      <c r="F131">
        <v>95.935338999999999</v>
      </c>
      <c r="G131">
        <f t="shared" si="2"/>
        <v>203.65257745708084</v>
      </c>
    </row>
    <row r="132" spans="5:7" x14ac:dyDescent="0.25">
      <c r="E132">
        <v>27.092689</v>
      </c>
      <c r="F132">
        <v>236.24679599999999</v>
      </c>
      <c r="G132">
        <f t="shared" ref="G132:G195" si="3">H$1*F132^I$1</f>
        <v>591.96017411586251</v>
      </c>
    </row>
    <row r="133" spans="5:7" x14ac:dyDescent="0.25">
      <c r="E133">
        <v>79.996953000000005</v>
      </c>
      <c r="F133">
        <v>824.52480700000001</v>
      </c>
      <c r="G133">
        <f t="shared" si="3"/>
        <v>2600.2340650345636</v>
      </c>
    </row>
    <row r="134" spans="5:7" x14ac:dyDescent="0.25">
      <c r="E134">
        <v>133.88229899999999</v>
      </c>
      <c r="F134">
        <v>127.44085800000001</v>
      </c>
      <c r="G134">
        <f t="shared" si="3"/>
        <v>285.04453334312632</v>
      </c>
    </row>
    <row r="135" spans="5:7" x14ac:dyDescent="0.25">
      <c r="E135">
        <v>175.86672200000001</v>
      </c>
      <c r="F135">
        <v>57.062635999999998</v>
      </c>
      <c r="G135">
        <f t="shared" si="3"/>
        <v>110.0899813156082</v>
      </c>
    </row>
    <row r="136" spans="5:7" x14ac:dyDescent="0.25">
      <c r="E136">
        <v>90.419856999999993</v>
      </c>
      <c r="F136">
        <v>776.924217</v>
      </c>
      <c r="G136">
        <f t="shared" si="3"/>
        <v>2423.4583671636956</v>
      </c>
    </row>
    <row r="137" spans="5:7" x14ac:dyDescent="0.25">
      <c r="E137">
        <v>204.513136</v>
      </c>
      <c r="F137">
        <v>175.026342</v>
      </c>
      <c r="G137">
        <f t="shared" si="3"/>
        <v>415.01297638712475</v>
      </c>
    </row>
    <row r="138" spans="5:7" x14ac:dyDescent="0.25">
      <c r="E138">
        <v>115.784001</v>
      </c>
      <c r="F138">
        <v>150.949862</v>
      </c>
      <c r="G138">
        <f t="shared" si="3"/>
        <v>348.30938161243625</v>
      </c>
    </row>
    <row r="139" spans="5:7" x14ac:dyDescent="0.25">
      <c r="E139">
        <v>74.642802000000003</v>
      </c>
      <c r="F139">
        <v>269.95592499999998</v>
      </c>
      <c r="G139">
        <f t="shared" si="3"/>
        <v>693.23101084597829</v>
      </c>
    </row>
    <row r="140" spans="5:7" x14ac:dyDescent="0.25">
      <c r="E140">
        <v>49.922772000000002</v>
      </c>
      <c r="F140">
        <v>388.46787</v>
      </c>
      <c r="G140">
        <f t="shared" si="3"/>
        <v>1066.6542665988568</v>
      </c>
    </row>
    <row r="141" spans="5:7" x14ac:dyDescent="0.25">
      <c r="E141">
        <v>114.979405</v>
      </c>
      <c r="F141">
        <v>304.15717799999999</v>
      </c>
      <c r="G141">
        <f t="shared" si="3"/>
        <v>798.39047370769379</v>
      </c>
    </row>
    <row r="142" spans="5:7" x14ac:dyDescent="0.25">
      <c r="E142">
        <v>90.729073</v>
      </c>
      <c r="F142">
        <v>640.85953199999994</v>
      </c>
      <c r="G142">
        <f t="shared" si="3"/>
        <v>1929.4540652794424</v>
      </c>
    </row>
    <row r="143" spans="5:7" x14ac:dyDescent="0.25">
      <c r="E143">
        <v>33.791679000000002</v>
      </c>
      <c r="F143">
        <v>845.52594899999997</v>
      </c>
      <c r="G143">
        <f t="shared" si="3"/>
        <v>2678.8323132527048</v>
      </c>
    </row>
    <row r="144" spans="5:7" x14ac:dyDescent="0.25">
      <c r="E144">
        <v>40.215308999999998</v>
      </c>
      <c r="F144">
        <v>163.83456000000001</v>
      </c>
      <c r="G144">
        <f t="shared" si="3"/>
        <v>383.78090796433349</v>
      </c>
    </row>
    <row r="145" spans="5:7" x14ac:dyDescent="0.25">
      <c r="E145">
        <v>63.047936</v>
      </c>
      <c r="F145">
        <v>62.317030000000003</v>
      </c>
      <c r="G145">
        <f t="shared" si="3"/>
        <v>122.19167542885185</v>
      </c>
    </row>
    <row r="146" spans="5:7" x14ac:dyDescent="0.25">
      <c r="E146">
        <v>193.62053599999999</v>
      </c>
      <c r="F146">
        <v>352.41295300000002</v>
      </c>
      <c r="G146">
        <f t="shared" si="3"/>
        <v>950.46611105354077</v>
      </c>
    </row>
    <row r="147" spans="5:7" x14ac:dyDescent="0.25">
      <c r="E147">
        <v>112.878776</v>
      </c>
      <c r="F147">
        <v>605.70900400000005</v>
      </c>
      <c r="G147">
        <f t="shared" si="3"/>
        <v>1804.7948473003462</v>
      </c>
    </row>
    <row r="148" spans="5:7" x14ac:dyDescent="0.25">
      <c r="E148">
        <v>240.459701</v>
      </c>
      <c r="F148">
        <v>982.02820499999996</v>
      </c>
      <c r="G148">
        <f t="shared" si="3"/>
        <v>3198.1733620049099</v>
      </c>
    </row>
    <row r="149" spans="5:7" x14ac:dyDescent="0.25">
      <c r="E149">
        <v>77.357697999999999</v>
      </c>
      <c r="F149">
        <v>19.466305999999999</v>
      </c>
      <c r="G149">
        <f t="shared" si="3"/>
        <v>30.813352326264337</v>
      </c>
    </row>
    <row r="150" spans="5:7" x14ac:dyDescent="0.25">
      <c r="E150">
        <v>633.70007799999996</v>
      </c>
      <c r="F150">
        <v>2521.8167079999998</v>
      </c>
      <c r="G150">
        <f t="shared" si="3"/>
        <v>9769.1333176565859</v>
      </c>
    </row>
    <row r="151" spans="5:7" x14ac:dyDescent="0.25">
      <c r="E151">
        <v>67.241220999999996</v>
      </c>
      <c r="F151">
        <v>79.364715000000004</v>
      </c>
      <c r="G151">
        <f t="shared" si="3"/>
        <v>162.69947262399654</v>
      </c>
    </row>
    <row r="152" spans="5:7" x14ac:dyDescent="0.25">
      <c r="E152">
        <v>151.58128199999999</v>
      </c>
      <c r="F152">
        <v>851.73596499999996</v>
      </c>
      <c r="G152">
        <f t="shared" si="3"/>
        <v>2702.1430381740465</v>
      </c>
    </row>
    <row r="153" spans="5:7" x14ac:dyDescent="0.25">
      <c r="E153">
        <v>61.148885</v>
      </c>
      <c r="F153">
        <v>2582.8923239999999</v>
      </c>
      <c r="G153">
        <f t="shared" si="3"/>
        <v>10049.885006389733</v>
      </c>
    </row>
    <row r="154" spans="5:7" x14ac:dyDescent="0.25">
      <c r="E154">
        <v>84.961691999999999</v>
      </c>
      <c r="F154">
        <v>2458.4517420000002</v>
      </c>
      <c r="G154">
        <f t="shared" si="3"/>
        <v>9479.1778063928305</v>
      </c>
    </row>
    <row r="155" spans="5:7" x14ac:dyDescent="0.25">
      <c r="E155">
        <v>485.353994</v>
      </c>
      <c r="F155">
        <v>235.052299</v>
      </c>
      <c r="G155">
        <f t="shared" si="3"/>
        <v>588.41807276535462</v>
      </c>
    </row>
    <row r="156" spans="5:7" x14ac:dyDescent="0.25">
      <c r="E156">
        <v>288.54746</v>
      </c>
      <c r="F156">
        <v>1682.138911</v>
      </c>
      <c r="G156">
        <f t="shared" si="3"/>
        <v>6048.4997913991192</v>
      </c>
    </row>
    <row r="157" spans="5:7" x14ac:dyDescent="0.25">
      <c r="E157">
        <v>105.62261100000001</v>
      </c>
      <c r="F157">
        <v>1214.988697</v>
      </c>
      <c r="G157">
        <f t="shared" si="3"/>
        <v>4114.9139786745254</v>
      </c>
    </row>
    <row r="158" spans="5:7" x14ac:dyDescent="0.25">
      <c r="E158">
        <v>93.042803000000006</v>
      </c>
      <c r="F158">
        <v>384.99009799999999</v>
      </c>
      <c r="G158">
        <f t="shared" si="3"/>
        <v>1055.3572788575898</v>
      </c>
    </row>
    <row r="159" spans="5:7" x14ac:dyDescent="0.25">
      <c r="E159">
        <v>87.130948000000004</v>
      </c>
      <c r="F159">
        <v>269.00754999999998</v>
      </c>
      <c r="G159">
        <f t="shared" si="3"/>
        <v>690.34846385727963</v>
      </c>
    </row>
    <row r="160" spans="5:7" x14ac:dyDescent="0.25">
      <c r="E160">
        <v>66.660657</v>
      </c>
      <c r="F160">
        <v>507.86874799999998</v>
      </c>
      <c r="G160">
        <f t="shared" si="3"/>
        <v>1464.9978739470912</v>
      </c>
    </row>
    <row r="161" spans="5:7" x14ac:dyDescent="0.25">
      <c r="E161">
        <v>238.12864099999999</v>
      </c>
      <c r="F161">
        <v>40.627958</v>
      </c>
      <c r="G161">
        <f t="shared" si="3"/>
        <v>73.633598516235381</v>
      </c>
    </row>
    <row r="162" spans="5:7" x14ac:dyDescent="0.25">
      <c r="E162">
        <v>150.80496500000001</v>
      </c>
      <c r="F162">
        <v>70.076610000000002</v>
      </c>
      <c r="G162">
        <f t="shared" si="3"/>
        <v>140.40603112998824</v>
      </c>
    </row>
    <row r="163" spans="5:7" x14ac:dyDescent="0.25">
      <c r="E163">
        <v>120.249751</v>
      </c>
      <c r="F163">
        <v>128.09689299999999</v>
      </c>
      <c r="G163">
        <f t="shared" si="3"/>
        <v>286.78268667563117</v>
      </c>
    </row>
    <row r="164" spans="5:7" x14ac:dyDescent="0.25">
      <c r="E164">
        <v>53.355209000000002</v>
      </c>
      <c r="F164">
        <v>38.874654</v>
      </c>
      <c r="G164">
        <f t="shared" si="3"/>
        <v>69.886358346449668</v>
      </c>
    </row>
    <row r="165" spans="5:7" x14ac:dyDescent="0.25">
      <c r="E165">
        <v>76.655779999999993</v>
      </c>
      <c r="F165">
        <v>142.18662399999999</v>
      </c>
      <c r="G165">
        <f t="shared" si="3"/>
        <v>324.49796882005541</v>
      </c>
    </row>
    <row r="166" spans="5:7" x14ac:dyDescent="0.25">
      <c r="E166">
        <v>89.178344999999993</v>
      </c>
      <c r="F166">
        <v>73.104416999999998</v>
      </c>
      <c r="G166">
        <f t="shared" si="3"/>
        <v>147.61703402334103</v>
      </c>
    </row>
    <row r="167" spans="5:7" x14ac:dyDescent="0.25">
      <c r="E167">
        <v>136.753052</v>
      </c>
      <c r="F167">
        <v>132.30734799999999</v>
      </c>
      <c r="G167">
        <f t="shared" si="3"/>
        <v>297.97693263544892</v>
      </c>
    </row>
    <row r="168" spans="5:7" x14ac:dyDescent="0.25">
      <c r="E168">
        <v>149.545252</v>
      </c>
      <c r="F168">
        <v>3254.7265109999998</v>
      </c>
      <c r="G168">
        <f t="shared" si="3"/>
        <v>13214.307266264121</v>
      </c>
    </row>
    <row r="169" spans="5:7" x14ac:dyDescent="0.25">
      <c r="E169">
        <v>180.05685</v>
      </c>
      <c r="F169">
        <v>183.451583</v>
      </c>
      <c r="G169">
        <f t="shared" si="3"/>
        <v>438.76971545937965</v>
      </c>
    </row>
    <row r="170" spans="5:7" x14ac:dyDescent="0.25">
      <c r="E170">
        <v>196.809021</v>
      </c>
      <c r="F170">
        <v>70.436952000000005</v>
      </c>
      <c r="G170">
        <f t="shared" si="3"/>
        <v>141.26126400058891</v>
      </c>
    </row>
    <row r="171" spans="5:7" x14ac:dyDescent="0.25">
      <c r="E171">
        <v>986.29966899999999</v>
      </c>
      <c r="F171">
        <v>144.24361200000001</v>
      </c>
      <c r="G171">
        <f t="shared" si="3"/>
        <v>330.06357000171852</v>
      </c>
    </row>
    <row r="172" spans="5:7" x14ac:dyDescent="0.25">
      <c r="E172">
        <v>87.049777000000006</v>
      </c>
      <c r="F172">
        <v>412.208752</v>
      </c>
      <c r="G172">
        <f t="shared" si="3"/>
        <v>1144.2633978870815</v>
      </c>
    </row>
    <row r="173" spans="5:7" x14ac:dyDescent="0.25">
      <c r="E173">
        <v>42.659198000000004</v>
      </c>
      <c r="F173">
        <v>775.55468699999994</v>
      </c>
      <c r="G173">
        <f t="shared" si="3"/>
        <v>2418.401172321845</v>
      </c>
    </row>
    <row r="174" spans="5:7" x14ac:dyDescent="0.25">
      <c r="E174">
        <v>48.023347000000001</v>
      </c>
      <c r="F174">
        <v>67.956180000000003</v>
      </c>
      <c r="G174">
        <f t="shared" si="3"/>
        <v>135.38991564315114</v>
      </c>
    </row>
    <row r="175" spans="5:7" x14ac:dyDescent="0.25">
      <c r="E175">
        <v>32.417938999999997</v>
      </c>
      <c r="F175">
        <v>3273.3736869999998</v>
      </c>
      <c r="G175">
        <f t="shared" si="3"/>
        <v>13303.992959435605</v>
      </c>
    </row>
    <row r="176" spans="5:7" x14ac:dyDescent="0.25">
      <c r="E176">
        <v>56.206207999999997</v>
      </c>
      <c r="F176">
        <v>127.45848599999999</v>
      </c>
      <c r="G176">
        <f t="shared" si="3"/>
        <v>285.09121693895196</v>
      </c>
    </row>
    <row r="177" spans="5:7" x14ac:dyDescent="0.25">
      <c r="E177">
        <v>44.922176999999998</v>
      </c>
      <c r="F177">
        <v>126.922051</v>
      </c>
      <c r="G177">
        <f t="shared" si="3"/>
        <v>283.67112812670729</v>
      </c>
    </row>
    <row r="178" spans="5:7" x14ac:dyDescent="0.25">
      <c r="E178">
        <v>68.850431</v>
      </c>
      <c r="F178">
        <v>52.331719999999997</v>
      </c>
      <c r="G178">
        <f t="shared" si="3"/>
        <v>99.367646106293691</v>
      </c>
    </row>
    <row r="179" spans="5:7" x14ac:dyDescent="0.25">
      <c r="E179">
        <v>118.611662</v>
      </c>
      <c r="F179">
        <v>580.46432400000003</v>
      </c>
      <c r="G179">
        <f t="shared" si="3"/>
        <v>1716.0797318961809</v>
      </c>
    </row>
    <row r="180" spans="5:7" x14ac:dyDescent="0.25">
      <c r="E180">
        <v>218.496059</v>
      </c>
      <c r="F180">
        <v>852.01699399999995</v>
      </c>
      <c r="G180">
        <f t="shared" si="3"/>
        <v>2703.1986867614823</v>
      </c>
    </row>
    <row r="181" spans="5:7" x14ac:dyDescent="0.25">
      <c r="E181">
        <v>367.691058</v>
      </c>
      <c r="F181">
        <v>12577.334261</v>
      </c>
      <c r="G181">
        <f t="shared" si="3"/>
        <v>65484.744502568086</v>
      </c>
    </row>
    <row r="182" spans="5:7" x14ac:dyDescent="0.25">
      <c r="E182">
        <v>449.01341600000001</v>
      </c>
      <c r="F182">
        <v>551.20363499999996</v>
      </c>
      <c r="G182">
        <f t="shared" si="3"/>
        <v>1614.1382375658802</v>
      </c>
    </row>
    <row r="183" spans="5:7" x14ac:dyDescent="0.25">
      <c r="E183">
        <v>102.608259</v>
      </c>
      <c r="F183">
        <v>782.84445300000004</v>
      </c>
      <c r="G183">
        <f t="shared" si="3"/>
        <v>2445.3385704620578</v>
      </c>
    </row>
    <row r="184" spans="5:7" x14ac:dyDescent="0.25">
      <c r="E184">
        <v>329.73054400000001</v>
      </c>
      <c r="F184">
        <v>604.33930899999996</v>
      </c>
      <c r="G184">
        <f t="shared" si="3"/>
        <v>1799.9637145666466</v>
      </c>
    </row>
    <row r="185" spans="5:7" x14ac:dyDescent="0.25">
      <c r="E185">
        <v>104.944642</v>
      </c>
      <c r="F185">
        <v>6386.3864670000003</v>
      </c>
      <c r="G185">
        <f t="shared" si="3"/>
        <v>29352.789722541904</v>
      </c>
    </row>
    <row r="186" spans="5:7" x14ac:dyDescent="0.25">
      <c r="E186">
        <v>57.796526</v>
      </c>
      <c r="F186">
        <v>584.03621299999998</v>
      </c>
      <c r="G186">
        <f t="shared" si="3"/>
        <v>1728.5897221145883</v>
      </c>
    </row>
    <row r="187" spans="5:7" x14ac:dyDescent="0.25">
      <c r="E187">
        <v>45.760097000000002</v>
      </c>
      <c r="F187">
        <v>564.378649</v>
      </c>
      <c r="G187">
        <f t="shared" si="3"/>
        <v>1659.9186056404926</v>
      </c>
    </row>
    <row r="188" spans="5:7" x14ac:dyDescent="0.25">
      <c r="E188">
        <v>44.046840000000003</v>
      </c>
      <c r="F188">
        <v>440.50133099999999</v>
      </c>
      <c r="G188">
        <f t="shared" si="3"/>
        <v>1237.8292638379514</v>
      </c>
    </row>
    <row r="189" spans="5:7" x14ac:dyDescent="0.25">
      <c r="E189">
        <v>79.171324999999996</v>
      </c>
      <c r="F189">
        <v>7371.5088850000002</v>
      </c>
      <c r="G189">
        <f t="shared" si="3"/>
        <v>34786.761612468086</v>
      </c>
    </row>
    <row r="190" spans="5:7" x14ac:dyDescent="0.25">
      <c r="E190">
        <v>53.800446999999998</v>
      </c>
      <c r="F190">
        <v>4416.4160339999999</v>
      </c>
      <c r="G190">
        <f t="shared" si="3"/>
        <v>18966.626206524597</v>
      </c>
    </row>
    <row r="191" spans="5:7" x14ac:dyDescent="0.25">
      <c r="E191">
        <v>61.185907</v>
      </c>
      <c r="F191">
        <v>378.81065000000001</v>
      </c>
      <c r="G191">
        <f t="shared" si="3"/>
        <v>1035.3307020879686</v>
      </c>
    </row>
    <row r="192" spans="5:7" x14ac:dyDescent="0.25">
      <c r="E192">
        <v>75.803389999999993</v>
      </c>
      <c r="F192">
        <v>2292.951016</v>
      </c>
      <c r="G192">
        <f t="shared" si="3"/>
        <v>8728.4001357435354</v>
      </c>
    </row>
    <row r="193" spans="5:7" x14ac:dyDescent="0.25">
      <c r="E193">
        <v>159.85177100000001</v>
      </c>
      <c r="F193">
        <v>1252.4759409999999</v>
      </c>
      <c r="G193">
        <f t="shared" si="3"/>
        <v>4265.6595601689369</v>
      </c>
    </row>
    <row r="194" spans="5:7" x14ac:dyDescent="0.25">
      <c r="E194">
        <v>44.511066999999997</v>
      </c>
      <c r="F194">
        <v>308.46159299999999</v>
      </c>
      <c r="G194">
        <f t="shared" si="3"/>
        <v>811.78557584079147</v>
      </c>
    </row>
    <row r="195" spans="5:7" x14ac:dyDescent="0.25">
      <c r="E195">
        <v>99.378359000000003</v>
      </c>
      <c r="F195">
        <v>48.255763000000002</v>
      </c>
      <c r="G195">
        <f t="shared" si="3"/>
        <v>90.27125257525455</v>
      </c>
    </row>
    <row r="196" spans="5:7" x14ac:dyDescent="0.25">
      <c r="E196">
        <v>156.60218900000001</v>
      </c>
      <c r="F196">
        <v>84.082413000000003</v>
      </c>
      <c r="G196">
        <f t="shared" ref="G196:G248" si="4">H$1*F196^I$1</f>
        <v>174.21203289473127</v>
      </c>
    </row>
    <row r="197" spans="5:7" x14ac:dyDescent="0.25">
      <c r="E197">
        <v>260.01603499999999</v>
      </c>
      <c r="F197">
        <v>51.872732999999997</v>
      </c>
      <c r="G197">
        <f t="shared" si="4"/>
        <v>98.336593880883967</v>
      </c>
    </row>
    <row r="198" spans="5:7" x14ac:dyDescent="0.25">
      <c r="E198">
        <v>49.432699</v>
      </c>
      <c r="F198">
        <v>221.38628600000001</v>
      </c>
      <c r="G198">
        <f t="shared" si="4"/>
        <v>548.13265683592306</v>
      </c>
    </row>
    <row r="199" spans="5:7" x14ac:dyDescent="0.25">
      <c r="E199">
        <v>83.718429</v>
      </c>
      <c r="F199">
        <v>52.413429000000001</v>
      </c>
      <c r="G199">
        <f t="shared" si="4"/>
        <v>99.551369282287084</v>
      </c>
    </row>
    <row r="200" spans="5:7" x14ac:dyDescent="0.25">
      <c r="E200">
        <v>48.480176</v>
      </c>
      <c r="F200">
        <v>1687.5337709999999</v>
      </c>
      <c r="G200">
        <f t="shared" si="4"/>
        <v>6071.4742722003066</v>
      </c>
    </row>
    <row r="201" spans="5:7" x14ac:dyDescent="0.25">
      <c r="E201">
        <v>28.019946999999998</v>
      </c>
      <c r="F201">
        <v>1061.971086</v>
      </c>
      <c r="G201">
        <f t="shared" si="4"/>
        <v>3508.6872544040048</v>
      </c>
    </row>
    <row r="202" spans="5:7" x14ac:dyDescent="0.25">
      <c r="E202">
        <v>28.159974999999999</v>
      </c>
      <c r="F202">
        <v>1615.082134</v>
      </c>
      <c r="G202">
        <f t="shared" si="4"/>
        <v>5764.0753993791222</v>
      </c>
    </row>
    <row r="203" spans="5:7" x14ac:dyDescent="0.25">
      <c r="E203">
        <v>85.815068999999994</v>
      </c>
      <c r="F203">
        <v>13370.794449000001</v>
      </c>
      <c r="G203">
        <f t="shared" si="4"/>
        <v>70404.005926190366</v>
      </c>
    </row>
    <row r="204" spans="5:7" x14ac:dyDescent="0.25">
      <c r="E204">
        <v>285.34499699999998</v>
      </c>
      <c r="F204">
        <v>329.47989200000001</v>
      </c>
      <c r="G204">
        <f t="shared" si="4"/>
        <v>877.68093893933485</v>
      </c>
    </row>
    <row r="205" spans="5:7" x14ac:dyDescent="0.25">
      <c r="E205">
        <v>70.116787000000002</v>
      </c>
      <c r="F205">
        <v>5891.3467579999997</v>
      </c>
      <c r="G205">
        <f t="shared" si="4"/>
        <v>26678.493424757322</v>
      </c>
    </row>
    <row r="206" spans="5:7" x14ac:dyDescent="0.25">
      <c r="E206">
        <v>79.946365</v>
      </c>
      <c r="F206">
        <v>6172.0908939999999</v>
      </c>
      <c r="G206">
        <f t="shared" si="4"/>
        <v>28190.260563649117</v>
      </c>
    </row>
    <row r="207" spans="5:7" x14ac:dyDescent="0.25">
      <c r="E207">
        <v>70.987387999999996</v>
      </c>
      <c r="F207">
        <v>1124.2853009999999</v>
      </c>
      <c r="G207">
        <f t="shared" si="4"/>
        <v>3753.7474144218013</v>
      </c>
    </row>
    <row r="208" spans="5:7" x14ac:dyDescent="0.25">
      <c r="E208">
        <v>180.19487599999999</v>
      </c>
      <c r="F208">
        <v>859.33249499999999</v>
      </c>
      <c r="G208">
        <f t="shared" si="4"/>
        <v>2730.7008979392162</v>
      </c>
    </row>
    <row r="209" spans="5:7" x14ac:dyDescent="0.25">
      <c r="E209">
        <v>150.10543999999999</v>
      </c>
      <c r="F209">
        <v>2817.8510179999998</v>
      </c>
      <c r="G209">
        <f t="shared" si="4"/>
        <v>11141.153974593391</v>
      </c>
    </row>
    <row r="210" spans="5:7" x14ac:dyDescent="0.25">
      <c r="E210">
        <v>70.664916000000005</v>
      </c>
      <c r="F210">
        <v>734.16699700000004</v>
      </c>
      <c r="G210">
        <f t="shared" si="4"/>
        <v>2266.3571112026211</v>
      </c>
    </row>
    <row r="211" spans="5:7" x14ac:dyDescent="0.25">
      <c r="E211">
        <v>237.78112200000001</v>
      </c>
      <c r="F211">
        <v>3942.001898</v>
      </c>
      <c r="G211">
        <f t="shared" si="4"/>
        <v>16578.909350782982</v>
      </c>
    </row>
    <row r="212" spans="5:7" x14ac:dyDescent="0.25">
      <c r="E212">
        <v>63.439256999999998</v>
      </c>
      <c r="F212">
        <v>268.18898300000001</v>
      </c>
      <c r="G212">
        <f t="shared" si="4"/>
        <v>687.8619657632579</v>
      </c>
    </row>
    <row r="213" spans="5:7" x14ac:dyDescent="0.25">
      <c r="E213">
        <v>37.196142999999999</v>
      </c>
      <c r="F213">
        <v>2264.1550029999999</v>
      </c>
      <c r="G213">
        <f t="shared" si="4"/>
        <v>8598.7657715724035</v>
      </c>
    </row>
    <row r="214" spans="5:7" x14ac:dyDescent="0.25">
      <c r="E214">
        <v>245.460309</v>
      </c>
      <c r="F214">
        <v>1842.5616319999999</v>
      </c>
      <c r="G214">
        <f t="shared" si="4"/>
        <v>6737.3158399486738</v>
      </c>
    </row>
    <row r="215" spans="5:7" x14ac:dyDescent="0.25">
      <c r="E215">
        <v>226.64154600000001</v>
      </c>
      <c r="F215">
        <v>531.05601200000001</v>
      </c>
      <c r="G215">
        <f t="shared" si="4"/>
        <v>1544.5194503783268</v>
      </c>
    </row>
    <row r="216" spans="5:7" x14ac:dyDescent="0.25">
      <c r="E216">
        <v>29.372657</v>
      </c>
      <c r="F216">
        <v>713.55105700000001</v>
      </c>
      <c r="G216">
        <f t="shared" si="4"/>
        <v>2191.2024006714214</v>
      </c>
    </row>
    <row r="217" spans="5:7" x14ac:dyDescent="0.25">
      <c r="E217">
        <v>42.596210999999997</v>
      </c>
      <c r="F217">
        <v>3656.2826380000001</v>
      </c>
      <c r="G217">
        <f t="shared" si="4"/>
        <v>15165.834327686358</v>
      </c>
    </row>
    <row r="218" spans="5:7" x14ac:dyDescent="0.25">
      <c r="E218">
        <v>70.715594999999993</v>
      </c>
      <c r="F218">
        <v>220.93643800000001</v>
      </c>
      <c r="G218">
        <f t="shared" si="4"/>
        <v>546.81418389997077</v>
      </c>
    </row>
    <row r="219" spans="5:7" x14ac:dyDescent="0.25">
      <c r="E219">
        <v>76.005291</v>
      </c>
      <c r="F219">
        <v>2875.5888639999998</v>
      </c>
      <c r="G219">
        <f t="shared" si="4"/>
        <v>11411.947219654254</v>
      </c>
    </row>
    <row r="220" spans="5:7" x14ac:dyDescent="0.25">
      <c r="E220">
        <v>146.14110700000001</v>
      </c>
      <c r="F220">
        <v>11.594091000000001</v>
      </c>
      <c r="G220">
        <f t="shared" si="4"/>
        <v>16.683358790000646</v>
      </c>
    </row>
    <row r="221" spans="5:7" x14ac:dyDescent="0.25">
      <c r="E221">
        <v>49.586773000000001</v>
      </c>
      <c r="F221">
        <v>75.238365000000002</v>
      </c>
      <c r="G221">
        <f t="shared" si="4"/>
        <v>152.73248608350065</v>
      </c>
    </row>
    <row r="222" spans="5:7" x14ac:dyDescent="0.25">
      <c r="E222">
        <v>894.15999699999998</v>
      </c>
      <c r="F222">
        <v>110.526792</v>
      </c>
      <c r="G222">
        <f t="shared" si="4"/>
        <v>240.82015316168156</v>
      </c>
    </row>
    <row r="223" spans="5:7" x14ac:dyDescent="0.25">
      <c r="E223">
        <v>196.46486400000001</v>
      </c>
      <c r="F223">
        <v>695.17204100000004</v>
      </c>
      <c r="G223">
        <f t="shared" si="4"/>
        <v>2124.5380370958032</v>
      </c>
    </row>
    <row r="224" spans="5:7" x14ac:dyDescent="0.25">
      <c r="E224">
        <v>95.822278999999995</v>
      </c>
      <c r="F224">
        <v>410.09751599999998</v>
      </c>
      <c r="G224">
        <f t="shared" si="4"/>
        <v>1137.3276658124455</v>
      </c>
    </row>
    <row r="225" spans="5:7" x14ac:dyDescent="0.25">
      <c r="E225">
        <v>110.093273</v>
      </c>
      <c r="F225">
        <v>156.853557</v>
      </c>
      <c r="G225">
        <f t="shared" si="4"/>
        <v>364.49583279004213</v>
      </c>
    </row>
    <row r="226" spans="5:7" x14ac:dyDescent="0.25">
      <c r="E226">
        <v>192.905698</v>
      </c>
      <c r="F226">
        <v>28.504201999999999</v>
      </c>
      <c r="G226">
        <f t="shared" si="4"/>
        <v>48.39933044032221</v>
      </c>
    </row>
    <row r="227" spans="5:7" x14ac:dyDescent="0.25">
      <c r="E227">
        <v>68.774535</v>
      </c>
      <c r="F227">
        <v>151.98265900000001</v>
      </c>
      <c r="G227">
        <f t="shared" si="4"/>
        <v>351.13277830344981</v>
      </c>
    </row>
    <row r="228" spans="5:7" x14ac:dyDescent="0.25">
      <c r="E228">
        <v>44.819223999999998</v>
      </c>
      <c r="F228">
        <v>117.630027</v>
      </c>
      <c r="G228">
        <f t="shared" si="4"/>
        <v>259.25120057153629</v>
      </c>
    </row>
    <row r="229" spans="5:7" x14ac:dyDescent="0.25">
      <c r="E229">
        <v>171.23820799999999</v>
      </c>
      <c r="F229">
        <v>352.25046600000002</v>
      </c>
      <c r="G229">
        <f t="shared" si="4"/>
        <v>949.94726720504195</v>
      </c>
    </row>
    <row r="230" spans="5:7" x14ac:dyDescent="0.25">
      <c r="E230">
        <v>377.59078499999998</v>
      </c>
      <c r="F230">
        <v>192.19663</v>
      </c>
      <c r="G230">
        <f t="shared" si="4"/>
        <v>463.64141347373055</v>
      </c>
    </row>
    <row r="231" spans="5:7" x14ac:dyDescent="0.25">
      <c r="E231">
        <v>226.00098600000001</v>
      </c>
      <c r="F231">
        <v>880.49303499999996</v>
      </c>
      <c r="G231">
        <f t="shared" si="4"/>
        <v>2810.4944138937035</v>
      </c>
    </row>
    <row r="232" spans="5:7" x14ac:dyDescent="0.25">
      <c r="E232">
        <v>47.219290000000001</v>
      </c>
      <c r="F232">
        <v>242.772458</v>
      </c>
      <c r="G232">
        <f t="shared" si="4"/>
        <v>611.36889522560909</v>
      </c>
    </row>
    <row r="233" spans="5:7" x14ac:dyDescent="0.25">
      <c r="E233">
        <v>57.591137000000003</v>
      </c>
      <c r="F233">
        <v>159.262551</v>
      </c>
      <c r="G233">
        <f t="shared" si="4"/>
        <v>371.1332066551368</v>
      </c>
    </row>
    <row r="234" spans="5:7" x14ac:dyDescent="0.25">
      <c r="E234">
        <v>46.290469000000002</v>
      </c>
      <c r="F234">
        <v>5692.6537900000003</v>
      </c>
      <c r="G234">
        <f t="shared" si="4"/>
        <v>25616.507670983381</v>
      </c>
    </row>
    <row r="235" spans="5:7" x14ac:dyDescent="0.25">
      <c r="E235">
        <v>94.910284000000004</v>
      </c>
      <c r="F235">
        <v>1033.3389870000001</v>
      </c>
      <c r="G235">
        <f t="shared" si="4"/>
        <v>3396.9622811181735</v>
      </c>
    </row>
    <row r="236" spans="5:7" x14ac:dyDescent="0.25">
      <c r="E236">
        <v>43.292352999999999</v>
      </c>
      <c r="F236">
        <v>5089.0950759999996</v>
      </c>
      <c r="G236">
        <f t="shared" si="4"/>
        <v>22433.118982773194</v>
      </c>
    </row>
    <row r="237" spans="5:7" x14ac:dyDescent="0.25">
      <c r="E237">
        <v>358.81333799999999</v>
      </c>
      <c r="F237">
        <v>2638.9249709999999</v>
      </c>
      <c r="G237">
        <f t="shared" si="4"/>
        <v>10308.532628473309</v>
      </c>
    </row>
    <row r="238" spans="5:7" x14ac:dyDescent="0.25">
      <c r="E238">
        <v>363.01277399999998</v>
      </c>
      <c r="F238">
        <v>433.17568899999998</v>
      </c>
      <c r="G238">
        <f t="shared" si="4"/>
        <v>1213.4936161421617</v>
      </c>
    </row>
    <row r="239" spans="5:7" x14ac:dyDescent="0.25">
      <c r="E239">
        <v>141.20743400000001</v>
      </c>
      <c r="F239">
        <v>1427.125716</v>
      </c>
      <c r="G239">
        <f t="shared" si="4"/>
        <v>4978.6375917867472</v>
      </c>
    </row>
    <row r="240" spans="5:7" x14ac:dyDescent="0.25">
      <c r="E240">
        <v>584.72220500000003</v>
      </c>
      <c r="F240">
        <v>620.46843000000001</v>
      </c>
      <c r="G240">
        <f t="shared" si="4"/>
        <v>1856.9804998644668</v>
      </c>
    </row>
    <row r="241" spans="4:10" x14ac:dyDescent="0.25">
      <c r="E241">
        <v>481.74295100000001</v>
      </c>
      <c r="F241">
        <v>91.357116000000005</v>
      </c>
      <c r="G241">
        <f t="shared" si="4"/>
        <v>192.19682568605165</v>
      </c>
    </row>
    <row r="242" spans="4:10" x14ac:dyDescent="0.25">
      <c r="E242">
        <v>173.86891299999999</v>
      </c>
      <c r="F242">
        <v>79.815268000000003</v>
      </c>
      <c r="G242">
        <f t="shared" si="4"/>
        <v>163.79363729714686</v>
      </c>
    </row>
    <row r="243" spans="4:10" x14ac:dyDescent="0.25">
      <c r="E243">
        <v>98.106236999999993</v>
      </c>
      <c r="F243">
        <v>226.507024</v>
      </c>
      <c r="G243">
        <f t="shared" si="4"/>
        <v>563.17573360327071</v>
      </c>
    </row>
    <row r="244" spans="4:10" x14ac:dyDescent="0.25">
      <c r="E244">
        <v>600.83847800000001</v>
      </c>
      <c r="F244">
        <v>5767.7015449999999</v>
      </c>
      <c r="G244">
        <f t="shared" si="4"/>
        <v>26016.838559999622</v>
      </c>
    </row>
    <row r="245" spans="4:10" x14ac:dyDescent="0.25">
      <c r="E245">
        <v>118.666416</v>
      </c>
      <c r="F245">
        <v>70.675389999999993</v>
      </c>
      <c r="G245">
        <f t="shared" si="4"/>
        <v>141.8276138818693</v>
      </c>
    </row>
    <row r="246" spans="4:10" x14ac:dyDescent="0.25">
      <c r="E246">
        <v>95.305654000000004</v>
      </c>
      <c r="F246">
        <v>170.48939100000001</v>
      </c>
      <c r="G246">
        <f t="shared" si="4"/>
        <v>402.30636611626414</v>
      </c>
    </row>
    <row r="247" spans="4:10" x14ac:dyDescent="0.25">
      <c r="E247">
        <v>177.86116899999999</v>
      </c>
      <c r="F247">
        <v>556.45784100000003</v>
      </c>
      <c r="G247">
        <f t="shared" si="4"/>
        <v>1632.3716167402094</v>
      </c>
    </row>
    <row r="248" spans="4:10" x14ac:dyDescent="0.25">
      <c r="E248">
        <v>148.159415</v>
      </c>
      <c r="F248">
        <v>548.76280099999997</v>
      </c>
      <c r="G248">
        <f t="shared" si="4"/>
        <v>1605.6788013336798</v>
      </c>
    </row>
    <row r="249" spans="4:10" x14ac:dyDescent="0.25">
      <c r="D249" t="s">
        <v>78</v>
      </c>
      <c r="E249" s="47">
        <f>SUM(E4:E248)</f>
        <v>51996.983473000044</v>
      </c>
      <c r="F249" s="4">
        <f>SUM(F4:F248)</f>
        <v>204198.41711499993</v>
      </c>
      <c r="G249" s="4">
        <f>SUM(G4:G248)</f>
        <v>792621.48855329666</v>
      </c>
      <c r="H249" s="5" t="s">
        <v>54</v>
      </c>
    </row>
    <row r="250" spans="4:10" x14ac:dyDescent="0.25">
      <c r="D250" t="s">
        <v>105</v>
      </c>
      <c r="E250" s="48">
        <f>E249/2</f>
        <v>25998.491736500022</v>
      </c>
    </row>
    <row r="251" spans="4:10" x14ac:dyDescent="0.25">
      <c r="F251" s="4">
        <f>F249/10000</f>
        <v>20.419841711499995</v>
      </c>
      <c r="G251" s="4">
        <f>G249*1.21</f>
        <v>959072.00114948896</v>
      </c>
      <c r="H251" s="5" t="s">
        <v>55</v>
      </c>
    </row>
    <row r="252" spans="4:10" x14ac:dyDescent="0.25">
      <c r="G252" s="10">
        <f>(G251-D49)*10^-6</f>
        <v>0.75170669390499323</v>
      </c>
      <c r="H252" s="5" t="s">
        <v>56</v>
      </c>
      <c r="J252" s="1"/>
    </row>
    <row r="253" spans="4:10" x14ac:dyDescent="0.25">
      <c r="G253">
        <f>10^6*(G252/608)/8</f>
        <v>154.54496174033579</v>
      </c>
    </row>
    <row r="258" spans="7:7" x14ac:dyDescent="0.25">
      <c r="G258" s="1"/>
    </row>
  </sheetData>
  <mergeCells count="2">
    <mergeCell ref="B2:D2"/>
    <mergeCell ref="E2:G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workbookViewId="0">
      <selection activeCell="S5" sqref="S5"/>
    </sheetView>
  </sheetViews>
  <sheetFormatPr defaultRowHeight="15" x14ac:dyDescent="0.25"/>
  <cols>
    <col min="3" max="4" width="9.7109375" bestFit="1" customWidth="1"/>
    <col min="6" max="6" width="9.7109375" bestFit="1" customWidth="1"/>
    <col min="7" max="7" width="11.28515625" customWidth="1"/>
    <col min="8" max="8" width="10.7109375" bestFit="1" customWidth="1"/>
    <col min="12" max="12" width="13.85546875" bestFit="1" customWidth="1"/>
    <col min="18" max="18" width="9.5703125" bestFit="1" customWidth="1"/>
  </cols>
  <sheetData>
    <row r="1" spans="2:18" ht="17.25" x14ac:dyDescent="0.25">
      <c r="L1" t="s">
        <v>79</v>
      </c>
    </row>
    <row r="2" spans="2:18" x14ac:dyDescent="0.25">
      <c r="B2" t="s">
        <v>71</v>
      </c>
      <c r="C2" t="s">
        <v>72</v>
      </c>
      <c r="I2" t="s">
        <v>73</v>
      </c>
      <c r="J2" t="s">
        <v>74</v>
      </c>
    </row>
    <row r="3" spans="2:18" x14ac:dyDescent="0.25">
      <c r="C3" t="s">
        <v>76</v>
      </c>
      <c r="G3" t="s">
        <v>77</v>
      </c>
      <c r="J3" t="s">
        <v>75</v>
      </c>
      <c r="K3" t="s">
        <v>80</v>
      </c>
      <c r="L3" t="s">
        <v>81</v>
      </c>
    </row>
    <row r="4" spans="2:18" x14ac:dyDescent="0.25">
      <c r="C4" s="9">
        <v>38417</v>
      </c>
      <c r="D4" s="9">
        <v>40667</v>
      </c>
      <c r="E4" s="9">
        <v>41002</v>
      </c>
      <c r="F4" s="9">
        <v>41356</v>
      </c>
      <c r="G4" s="9">
        <v>41535</v>
      </c>
      <c r="H4" s="9">
        <v>41930</v>
      </c>
      <c r="K4" s="9">
        <v>38417</v>
      </c>
      <c r="L4" s="9">
        <v>41930</v>
      </c>
      <c r="M4" t="s">
        <v>82</v>
      </c>
      <c r="N4" t="s">
        <v>83</v>
      </c>
      <c r="O4" t="s">
        <v>84</v>
      </c>
      <c r="P4" t="s">
        <v>112</v>
      </c>
      <c r="Q4" t="s">
        <v>107</v>
      </c>
      <c r="R4" t="s">
        <v>108</v>
      </c>
    </row>
    <row r="5" spans="2:18" x14ac:dyDescent="0.25">
      <c r="B5" t="s">
        <v>1</v>
      </c>
      <c r="C5">
        <v>140</v>
      </c>
      <c r="D5">
        <v>265</v>
      </c>
      <c r="E5">
        <v>390</v>
      </c>
      <c r="F5">
        <v>420</v>
      </c>
      <c r="G5">
        <v>440</v>
      </c>
      <c r="H5">
        <v>440</v>
      </c>
      <c r="I5">
        <v>300</v>
      </c>
      <c r="J5">
        <v>1.26</v>
      </c>
      <c r="K5" s="7">
        <f>0.9167*C5^1.184</f>
        <v>318.59783890499796</v>
      </c>
      <c r="L5" s="7">
        <f>0.9167*H5^1.184</f>
        <v>1236.1614625905756</v>
      </c>
      <c r="M5" s="7">
        <f>L5-K5</f>
        <v>917.56362368557768</v>
      </c>
      <c r="N5" s="7">
        <f>M5*J5</f>
        <v>1156.1301658438279</v>
      </c>
      <c r="O5" s="7">
        <f>(L5-0.9167*F5^1.184)*J5</f>
        <v>83.470264912081319</v>
      </c>
      <c r="P5">
        <f>H5-F5</f>
        <v>20</v>
      </c>
      <c r="Q5">
        <v>12.8</v>
      </c>
      <c r="R5" s="1">
        <f>(N5/Q5)/10</f>
        <v>9.0322669206549051</v>
      </c>
    </row>
    <row r="6" spans="2:18" x14ac:dyDescent="0.25">
      <c r="B6" t="s">
        <v>2</v>
      </c>
      <c r="C6">
        <v>785</v>
      </c>
      <c r="D6">
        <v>2700</v>
      </c>
      <c r="E6">
        <v>3330</v>
      </c>
      <c r="F6">
        <v>3560</v>
      </c>
      <c r="G6">
        <v>3573</v>
      </c>
      <c r="H6">
        <v>3575</v>
      </c>
      <c r="I6">
        <v>2790</v>
      </c>
      <c r="J6">
        <v>1.19</v>
      </c>
      <c r="K6" s="7">
        <f t="shared" ref="K6:K17" si="0">0.9167*C6^1.184</f>
        <v>2453.3126880931063</v>
      </c>
      <c r="L6" s="7">
        <f t="shared" ref="L6:L17" si="1">0.9167*H6^1.184</f>
        <v>14767.469072100985</v>
      </c>
      <c r="M6" s="7">
        <f t="shared" ref="M6:M17" si="2">L6-K6</f>
        <v>12314.156384007878</v>
      </c>
      <c r="N6" s="7">
        <f t="shared" ref="N6:N17" si="3">M6*J6</f>
        <v>14653.846096969373</v>
      </c>
      <c r="O6" s="7">
        <f t="shared" ref="O6:O17" si="4">(L6-0.9167*F6^1.184)*J6</f>
        <v>87.267408396953684</v>
      </c>
      <c r="P6">
        <f t="shared" ref="P6:P17" si="5">H6-F6</f>
        <v>15</v>
      </c>
      <c r="Q6">
        <v>13</v>
      </c>
      <c r="R6" s="1">
        <f t="shared" ref="R6:R17" si="6">(N6/Q6)/10</f>
        <v>112.72189305361057</v>
      </c>
    </row>
    <row r="7" spans="2:18" x14ac:dyDescent="0.25">
      <c r="B7" t="s">
        <v>3</v>
      </c>
      <c r="C7">
        <v>210</v>
      </c>
      <c r="D7">
        <v>530</v>
      </c>
      <c r="E7">
        <v>600</v>
      </c>
      <c r="F7">
        <v>1430</v>
      </c>
      <c r="G7">
        <v>1460</v>
      </c>
      <c r="H7">
        <v>1460</v>
      </c>
      <c r="I7">
        <v>1250</v>
      </c>
      <c r="J7">
        <v>1.1399999999999999</v>
      </c>
      <c r="K7" s="7">
        <f t="shared" si="0"/>
        <v>514.9142090175543</v>
      </c>
      <c r="L7" s="7">
        <f t="shared" si="1"/>
        <v>5114.7099765078528</v>
      </c>
      <c r="M7" s="7">
        <f t="shared" si="2"/>
        <v>4599.7957674902982</v>
      </c>
      <c r="N7" s="7">
        <f t="shared" si="3"/>
        <v>5243.7671749389392</v>
      </c>
      <c r="O7" s="7">
        <f t="shared" si="4"/>
        <v>141.58575223944106</v>
      </c>
      <c r="P7">
        <f t="shared" si="5"/>
        <v>30</v>
      </c>
      <c r="Q7">
        <v>41.6</v>
      </c>
      <c r="R7" s="1">
        <f t="shared" si="6"/>
        <v>12.605209555141681</v>
      </c>
    </row>
    <row r="8" spans="2:18" x14ac:dyDescent="0.25">
      <c r="B8" t="s">
        <v>4</v>
      </c>
      <c r="C8">
        <v>230</v>
      </c>
      <c r="D8">
        <v>400</v>
      </c>
      <c r="E8">
        <v>450</v>
      </c>
      <c r="F8">
        <v>750</v>
      </c>
      <c r="G8">
        <v>780</v>
      </c>
      <c r="H8">
        <v>785</v>
      </c>
      <c r="I8">
        <v>555</v>
      </c>
      <c r="J8">
        <v>1.17</v>
      </c>
      <c r="K8" s="7">
        <f t="shared" si="0"/>
        <v>573.47301813717309</v>
      </c>
      <c r="L8" s="7">
        <f t="shared" si="1"/>
        <v>2453.3126880931063</v>
      </c>
      <c r="M8" s="7">
        <f t="shared" si="2"/>
        <v>1879.8396699559332</v>
      </c>
      <c r="N8" s="7">
        <f t="shared" si="3"/>
        <v>2199.4124138484417</v>
      </c>
      <c r="O8" s="7">
        <f t="shared" si="4"/>
        <v>150.89734952756456</v>
      </c>
      <c r="P8">
        <f t="shared" si="5"/>
        <v>35</v>
      </c>
      <c r="Q8">
        <v>1.7</v>
      </c>
      <c r="R8" s="1">
        <f t="shared" si="6"/>
        <v>129.37720081461424</v>
      </c>
    </row>
    <row r="9" spans="2:18" x14ac:dyDescent="0.25">
      <c r="B9" t="s">
        <v>5</v>
      </c>
      <c r="C9">
        <v>2820</v>
      </c>
      <c r="D9">
        <v>10700</v>
      </c>
      <c r="E9">
        <v>11500</v>
      </c>
      <c r="F9">
        <v>13700</v>
      </c>
      <c r="G9">
        <v>13960</v>
      </c>
      <c r="H9">
        <v>14050</v>
      </c>
      <c r="I9">
        <v>11230</v>
      </c>
      <c r="J9">
        <v>1.1599999999999999</v>
      </c>
      <c r="K9" s="7">
        <f t="shared" si="0"/>
        <v>11151.214648957375</v>
      </c>
      <c r="L9" s="7">
        <f t="shared" si="1"/>
        <v>74657.93944491967</v>
      </c>
      <c r="M9" s="7">
        <f t="shared" si="2"/>
        <v>63506.724795962291</v>
      </c>
      <c r="N9" s="7">
        <f t="shared" si="3"/>
        <v>73667.800763316249</v>
      </c>
      <c r="O9" s="7">
        <f t="shared" si="4"/>
        <v>2548.4382150078918</v>
      </c>
      <c r="P9">
        <f t="shared" si="5"/>
        <v>350</v>
      </c>
      <c r="Q9">
        <v>68</v>
      </c>
      <c r="R9" s="1">
        <f t="shared" si="6"/>
        <v>108.33500112252389</v>
      </c>
    </row>
    <row r="10" spans="2:18" x14ac:dyDescent="0.25">
      <c r="B10" t="s">
        <v>6</v>
      </c>
      <c r="C10">
        <v>1720</v>
      </c>
      <c r="D10">
        <v>6770</v>
      </c>
      <c r="E10">
        <v>8100</v>
      </c>
      <c r="F10">
        <v>9110</v>
      </c>
      <c r="G10">
        <v>9580</v>
      </c>
      <c r="H10">
        <v>9960</v>
      </c>
      <c r="I10">
        <v>8240</v>
      </c>
      <c r="J10">
        <v>1.22</v>
      </c>
      <c r="K10" s="7">
        <f t="shared" si="0"/>
        <v>6210.0187648483598</v>
      </c>
      <c r="L10" s="7">
        <f t="shared" si="1"/>
        <v>49678.249926804579</v>
      </c>
      <c r="M10" s="7">
        <f t="shared" si="2"/>
        <v>43468.231161956217</v>
      </c>
      <c r="N10" s="7">
        <f t="shared" si="3"/>
        <v>53031.242017586585</v>
      </c>
      <c r="O10" s="7">
        <f t="shared" si="4"/>
        <v>6074.7875707681615</v>
      </c>
      <c r="P10">
        <f t="shared" si="5"/>
        <v>850</v>
      </c>
      <c r="Q10">
        <v>13.3</v>
      </c>
      <c r="R10" s="1">
        <f t="shared" si="6"/>
        <v>398.73114298937281</v>
      </c>
    </row>
    <row r="11" spans="2:18" x14ac:dyDescent="0.25">
      <c r="B11" t="s">
        <v>7</v>
      </c>
      <c r="C11">
        <v>110</v>
      </c>
      <c r="D11">
        <v>365</v>
      </c>
      <c r="E11">
        <v>365</v>
      </c>
      <c r="F11">
        <v>385</v>
      </c>
      <c r="G11">
        <v>390</v>
      </c>
      <c r="H11">
        <v>390</v>
      </c>
      <c r="I11">
        <v>280</v>
      </c>
      <c r="J11">
        <v>1.1499999999999999</v>
      </c>
      <c r="K11" s="7">
        <f t="shared" si="0"/>
        <v>239.46176022786796</v>
      </c>
      <c r="L11" s="7">
        <f t="shared" si="1"/>
        <v>1071.6370645391019</v>
      </c>
      <c r="M11" s="7">
        <f t="shared" si="2"/>
        <v>832.17530431123396</v>
      </c>
      <c r="N11" s="7">
        <f t="shared" si="3"/>
        <v>957.00159995791898</v>
      </c>
      <c r="O11" s="7">
        <f t="shared" si="4"/>
        <v>18.6847942588014</v>
      </c>
      <c r="P11">
        <f t="shared" si="5"/>
        <v>5</v>
      </c>
      <c r="Q11">
        <v>0.7</v>
      </c>
      <c r="R11" s="1">
        <f t="shared" si="6"/>
        <v>136.71451427970271</v>
      </c>
    </row>
    <row r="12" spans="2:18" x14ac:dyDescent="0.25">
      <c r="B12" t="s">
        <v>8</v>
      </c>
      <c r="C12">
        <v>365</v>
      </c>
      <c r="D12">
        <v>2140</v>
      </c>
      <c r="E12">
        <v>2860</v>
      </c>
      <c r="F12">
        <v>3740</v>
      </c>
      <c r="G12">
        <v>3850</v>
      </c>
      <c r="H12">
        <v>3890</v>
      </c>
      <c r="I12">
        <v>3525</v>
      </c>
      <c r="J12">
        <v>1.19</v>
      </c>
      <c r="K12" s="7">
        <f t="shared" si="0"/>
        <v>990.79084010828876</v>
      </c>
      <c r="L12" s="7">
        <f t="shared" si="1"/>
        <v>16320.278265172561</v>
      </c>
      <c r="M12" s="7">
        <f t="shared" si="2"/>
        <v>15329.487425064272</v>
      </c>
      <c r="N12" s="7">
        <f t="shared" si="3"/>
        <v>18242.090035826481</v>
      </c>
      <c r="O12" s="7">
        <f t="shared" si="4"/>
        <v>883.5028388052865</v>
      </c>
      <c r="P12">
        <f t="shared" si="5"/>
        <v>150</v>
      </c>
      <c r="Q12">
        <v>17.399999999999999</v>
      </c>
      <c r="R12" s="1">
        <f t="shared" si="6"/>
        <v>104.83959790704876</v>
      </c>
    </row>
    <row r="13" spans="2:18" x14ac:dyDescent="0.25">
      <c r="B13" t="s">
        <v>9</v>
      </c>
      <c r="C13">
        <v>40</v>
      </c>
      <c r="D13">
        <v>730</v>
      </c>
      <c r="E13">
        <v>1050</v>
      </c>
      <c r="F13">
        <v>1120</v>
      </c>
      <c r="G13">
        <v>1150</v>
      </c>
      <c r="H13">
        <v>1180</v>
      </c>
      <c r="I13">
        <v>1140</v>
      </c>
      <c r="J13">
        <v>1.19</v>
      </c>
      <c r="K13" s="7">
        <f t="shared" si="0"/>
        <v>72.288008629084189</v>
      </c>
      <c r="L13" s="7">
        <f t="shared" si="1"/>
        <v>3974.9853098957342</v>
      </c>
      <c r="M13" s="7">
        <f t="shared" si="2"/>
        <v>3902.6973012666499</v>
      </c>
      <c r="N13" s="7">
        <f t="shared" si="3"/>
        <v>4644.2097885073135</v>
      </c>
      <c r="O13" s="7">
        <f t="shared" si="4"/>
        <v>283.42499715005067</v>
      </c>
      <c r="P13">
        <f t="shared" si="5"/>
        <v>60</v>
      </c>
      <c r="Q13">
        <v>6.8</v>
      </c>
      <c r="R13" s="1">
        <f t="shared" si="6"/>
        <v>68.297202772166372</v>
      </c>
    </row>
    <row r="14" spans="2:18" x14ac:dyDescent="0.25">
      <c r="B14" t="s">
        <v>10</v>
      </c>
      <c r="C14">
        <v>50</v>
      </c>
      <c r="D14">
        <v>190</v>
      </c>
      <c r="E14">
        <v>400</v>
      </c>
      <c r="F14">
        <v>455</v>
      </c>
      <c r="G14">
        <v>460</v>
      </c>
      <c r="H14">
        <v>460</v>
      </c>
      <c r="I14">
        <v>410</v>
      </c>
      <c r="J14">
        <v>1.25</v>
      </c>
      <c r="K14" s="7">
        <f t="shared" si="0"/>
        <v>94.147266800149438</v>
      </c>
      <c r="L14" s="7">
        <f t="shared" si="1"/>
        <v>1302.9642623387492</v>
      </c>
      <c r="M14" s="7">
        <f t="shared" si="2"/>
        <v>1208.8169955385997</v>
      </c>
      <c r="N14" s="7">
        <f t="shared" si="3"/>
        <v>1511.0212444232498</v>
      </c>
      <c r="O14" s="7">
        <f t="shared" si="4"/>
        <v>20.939706429635407</v>
      </c>
      <c r="P14">
        <f t="shared" si="5"/>
        <v>5</v>
      </c>
      <c r="Q14">
        <v>6.5</v>
      </c>
      <c r="R14" s="1">
        <f t="shared" si="6"/>
        <v>23.246480683434612</v>
      </c>
    </row>
    <row r="15" spans="2:18" x14ac:dyDescent="0.25">
      <c r="B15" t="s">
        <v>11</v>
      </c>
      <c r="C15">
        <v>152</v>
      </c>
      <c r="D15">
        <v>600</v>
      </c>
      <c r="E15">
        <v>750</v>
      </c>
      <c r="F15">
        <v>890</v>
      </c>
      <c r="G15">
        <v>1020</v>
      </c>
      <c r="H15">
        <v>1070</v>
      </c>
      <c r="I15">
        <v>918</v>
      </c>
      <c r="J15">
        <v>1.23</v>
      </c>
      <c r="K15" s="7">
        <f t="shared" si="0"/>
        <v>351.18021426776602</v>
      </c>
      <c r="L15" s="7">
        <f t="shared" si="1"/>
        <v>3540.1170696140225</v>
      </c>
      <c r="M15" s="7">
        <f t="shared" si="2"/>
        <v>3188.9368553462564</v>
      </c>
      <c r="N15" s="7">
        <f t="shared" si="3"/>
        <v>3922.3923320758954</v>
      </c>
      <c r="O15" s="7">
        <f t="shared" si="4"/>
        <v>853.19888918122638</v>
      </c>
      <c r="P15">
        <f t="shared" si="5"/>
        <v>180</v>
      </c>
      <c r="Q15">
        <v>9.1999999999999993</v>
      </c>
      <c r="R15" s="1">
        <f t="shared" si="6"/>
        <v>42.634699261694514</v>
      </c>
    </row>
    <row r="16" spans="2:18" x14ac:dyDescent="0.25">
      <c r="B16" t="s">
        <v>12</v>
      </c>
      <c r="C16">
        <v>50</v>
      </c>
      <c r="D16">
        <v>170</v>
      </c>
      <c r="E16">
        <v>240</v>
      </c>
      <c r="F16">
        <v>255</v>
      </c>
      <c r="G16">
        <v>255</v>
      </c>
      <c r="H16">
        <v>260</v>
      </c>
      <c r="I16">
        <v>210</v>
      </c>
      <c r="J16">
        <v>1.22</v>
      </c>
      <c r="K16" s="7">
        <f t="shared" si="0"/>
        <v>94.147266800149438</v>
      </c>
      <c r="L16" s="7">
        <f t="shared" si="1"/>
        <v>663.06434523156474</v>
      </c>
      <c r="M16" s="7">
        <f t="shared" si="2"/>
        <v>568.91707843141535</v>
      </c>
      <c r="N16" s="7">
        <f t="shared" si="3"/>
        <v>694.07883568632667</v>
      </c>
      <c r="O16" s="7">
        <f t="shared" si="4"/>
        <v>18.386148152641955</v>
      </c>
      <c r="P16">
        <f t="shared" si="5"/>
        <v>5</v>
      </c>
      <c r="Q16">
        <v>4.0999999999999996</v>
      </c>
      <c r="R16" s="1">
        <f t="shared" si="6"/>
        <v>16.928752089910407</v>
      </c>
    </row>
    <row r="17" spans="2:18" x14ac:dyDescent="0.25">
      <c r="B17" t="s">
        <v>13</v>
      </c>
      <c r="C17">
        <v>199</v>
      </c>
      <c r="D17">
        <v>240</v>
      </c>
      <c r="E17">
        <v>345</v>
      </c>
      <c r="F17">
        <v>365</v>
      </c>
      <c r="G17">
        <v>370</v>
      </c>
      <c r="H17">
        <v>370</v>
      </c>
      <c r="I17">
        <v>171</v>
      </c>
      <c r="J17">
        <v>1.1399999999999999</v>
      </c>
      <c r="K17" s="7">
        <f t="shared" si="0"/>
        <v>483.13586034580646</v>
      </c>
      <c r="L17" s="7">
        <f t="shared" si="1"/>
        <v>1006.8808305582156</v>
      </c>
      <c r="M17" s="7">
        <f t="shared" si="2"/>
        <v>523.74497021240916</v>
      </c>
      <c r="N17" s="7">
        <f t="shared" si="3"/>
        <v>597.06926604214641</v>
      </c>
      <c r="O17" s="7">
        <f t="shared" si="4"/>
        <v>18.342589112916617</v>
      </c>
      <c r="P17">
        <f t="shared" si="5"/>
        <v>5</v>
      </c>
      <c r="Q17">
        <v>4.8</v>
      </c>
      <c r="R17" s="1">
        <f t="shared" si="6"/>
        <v>12.438943042544718</v>
      </c>
    </row>
    <row r="18" spans="2:18" x14ac:dyDescent="0.25">
      <c r="B18" t="s">
        <v>78</v>
      </c>
      <c r="C18">
        <f>SUM(C5:C17)</f>
        <v>6871</v>
      </c>
      <c r="D18">
        <f t="shared" ref="D18:I18" si="7">SUM(D5:D17)</f>
        <v>25800</v>
      </c>
      <c r="E18">
        <f t="shared" si="7"/>
        <v>30380</v>
      </c>
      <c r="F18">
        <f t="shared" si="7"/>
        <v>36180</v>
      </c>
      <c r="G18">
        <f t="shared" si="7"/>
        <v>37288</v>
      </c>
      <c r="H18">
        <f t="shared" si="7"/>
        <v>37890</v>
      </c>
      <c r="I18">
        <f t="shared" si="7"/>
        <v>31019</v>
      </c>
      <c r="K18" s="7">
        <f t="shared" ref="K18:Q18" si="8">SUM(K5:K17)</f>
        <v>23546.682385137672</v>
      </c>
      <c r="L18" s="7">
        <f t="shared" si="8"/>
        <v>175787.76971836673</v>
      </c>
      <c r="M18" s="7">
        <f t="shared" si="8"/>
        <v>152241.08733322902</v>
      </c>
      <c r="N18" s="7">
        <f t="shared" si="8"/>
        <v>180520.06173502273</v>
      </c>
      <c r="O18" s="7">
        <f t="shared" si="8"/>
        <v>11182.926523942655</v>
      </c>
      <c r="P18" s="7">
        <f t="shared" si="8"/>
        <v>1710</v>
      </c>
      <c r="Q18" s="7">
        <f t="shared" si="8"/>
        <v>199.90000000000003</v>
      </c>
      <c r="R18" s="1">
        <f>(N18/Q18)/10</f>
        <v>90.305183459240965</v>
      </c>
    </row>
    <row r="19" spans="2:18" x14ac:dyDescent="0.25">
      <c r="N19" t="s">
        <v>109</v>
      </c>
      <c r="O19" s="1">
        <f>MIN(O5:O18)</f>
        <v>18.342589112916617</v>
      </c>
      <c r="Q19" t="s">
        <v>109</v>
      </c>
      <c r="R19" s="1">
        <f>MIN(R5:R18)</f>
        <v>9.0322669206549051</v>
      </c>
    </row>
    <row r="20" spans="2:18" x14ac:dyDescent="0.25">
      <c r="D20" s="2"/>
      <c r="N20" t="s">
        <v>110</v>
      </c>
      <c r="O20" s="1">
        <f>MAX(O5:O17)</f>
        <v>6074.7875707681615</v>
      </c>
      <c r="Q20" t="s">
        <v>110</v>
      </c>
      <c r="R20" s="1">
        <f>MAX(R5:R17)</f>
        <v>398.73114298937281</v>
      </c>
    </row>
    <row r="21" spans="2:18" x14ac:dyDescent="0.25">
      <c r="N21" t="s">
        <v>111</v>
      </c>
      <c r="O21" s="1">
        <f>AVERAGE(O5:O17)</f>
        <v>860.22511722635807</v>
      </c>
      <c r="Q21" t="s">
        <v>111</v>
      </c>
      <c r="R21" s="1">
        <f>AVERAGE(R5:R17)</f>
        <v>90.454069576340004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9"/>
  <sheetViews>
    <sheetView workbookViewId="0">
      <selection activeCell="E16" sqref="E16"/>
    </sheetView>
  </sheetViews>
  <sheetFormatPr defaultRowHeight="15" x14ac:dyDescent="0.25"/>
  <sheetData>
    <row r="2" spans="2:19" x14ac:dyDescent="0.25">
      <c r="B2" s="67">
        <v>41453</v>
      </c>
      <c r="C2" s="67"/>
      <c r="D2" s="67"/>
      <c r="E2" s="67">
        <v>41478</v>
      </c>
      <c r="F2" s="67"/>
      <c r="G2" s="67"/>
      <c r="H2" s="67">
        <v>41491</v>
      </c>
      <c r="I2" s="67"/>
      <c r="J2" s="67"/>
      <c r="K2" s="67">
        <v>41495</v>
      </c>
      <c r="L2" s="67"/>
      <c r="M2" s="67"/>
      <c r="N2" s="67">
        <v>41517</v>
      </c>
      <c r="O2" s="67"/>
      <c r="P2" s="67"/>
      <c r="Q2" s="67">
        <v>41535</v>
      </c>
      <c r="R2" s="67"/>
      <c r="S2" s="67"/>
    </row>
    <row r="3" spans="2:19" x14ac:dyDescent="0.25">
      <c r="B3" s="6" t="s">
        <v>15</v>
      </c>
      <c r="C3" s="6" t="s">
        <v>86</v>
      </c>
      <c r="D3" s="6" t="s">
        <v>16</v>
      </c>
      <c r="E3" s="6" t="s">
        <v>15</v>
      </c>
      <c r="F3" s="6" t="s">
        <v>86</v>
      </c>
      <c r="G3" s="6" t="s">
        <v>16</v>
      </c>
      <c r="H3" s="6" t="s">
        <v>15</v>
      </c>
      <c r="I3" s="6" t="s">
        <v>86</v>
      </c>
      <c r="J3" s="6" t="s">
        <v>16</v>
      </c>
      <c r="K3" s="6" t="s">
        <v>15</v>
      </c>
      <c r="L3" s="6" t="s">
        <v>86</v>
      </c>
      <c r="M3" s="6" t="s">
        <v>16</v>
      </c>
      <c r="N3" s="6" t="s">
        <v>15</v>
      </c>
      <c r="O3" s="6" t="s">
        <v>86</v>
      </c>
      <c r="P3" s="6" t="s">
        <v>16</v>
      </c>
      <c r="Q3" s="6" t="s">
        <v>15</v>
      </c>
      <c r="R3" s="6" t="s">
        <v>86</v>
      </c>
      <c r="S3" s="6" t="s">
        <v>16</v>
      </c>
    </row>
    <row r="4" spans="2:19" x14ac:dyDescent="0.25">
      <c r="B4" s="6">
        <v>-4.3</v>
      </c>
      <c r="C4" s="6">
        <v>0</v>
      </c>
      <c r="D4" s="6"/>
      <c r="E4" s="6">
        <v>-5</v>
      </c>
      <c r="F4" s="6">
        <v>0</v>
      </c>
      <c r="G4" s="6"/>
      <c r="H4" s="6">
        <v>-5</v>
      </c>
      <c r="I4" s="6">
        <v>0</v>
      </c>
      <c r="J4" s="6"/>
      <c r="K4" s="6">
        <v>-7.2</v>
      </c>
      <c r="L4" s="6">
        <v>0</v>
      </c>
      <c r="M4" s="6"/>
      <c r="N4" s="6">
        <v>-7.3</v>
      </c>
      <c r="O4" s="6">
        <v>0</v>
      </c>
      <c r="P4" s="6">
        <v>4.3</v>
      </c>
      <c r="Q4" s="6">
        <v>-7.7</v>
      </c>
      <c r="R4" s="6">
        <v>0</v>
      </c>
      <c r="S4" s="6">
        <v>4.3</v>
      </c>
    </row>
    <row r="5" spans="2:19" x14ac:dyDescent="0.25">
      <c r="B5" s="6">
        <v>-1.3</v>
      </c>
      <c r="C5" s="6">
        <v>-2.1</v>
      </c>
      <c r="D5" s="6"/>
      <c r="E5" s="6">
        <v>-1.8</v>
      </c>
      <c r="F5" s="6">
        <v>-2.2000000000000002</v>
      </c>
      <c r="G5" s="6"/>
      <c r="H5" s="6">
        <v>-1.8</v>
      </c>
      <c r="I5" s="6">
        <v>-2</v>
      </c>
      <c r="J5" s="6"/>
      <c r="K5" s="6">
        <v>-3.2</v>
      </c>
      <c r="L5" s="6">
        <v>-2</v>
      </c>
      <c r="M5" s="6"/>
      <c r="N5" s="6">
        <v>-4.3</v>
      </c>
      <c r="O5" s="6">
        <v>-1.5</v>
      </c>
      <c r="P5" s="6"/>
      <c r="Q5" s="6">
        <v>-5.4</v>
      </c>
      <c r="R5" s="6">
        <v>-1.3</v>
      </c>
      <c r="S5" s="6"/>
    </row>
    <row r="6" spans="2:19" x14ac:dyDescent="0.25">
      <c r="B6" s="6">
        <v>-0.5</v>
      </c>
      <c r="C6" s="6">
        <v>-5</v>
      </c>
      <c r="D6" s="6"/>
      <c r="E6" s="6">
        <v>-0.8</v>
      </c>
      <c r="F6" s="6">
        <v>-4.8</v>
      </c>
      <c r="G6" s="6"/>
      <c r="H6" s="6">
        <v>-0.8</v>
      </c>
      <c r="I6" s="6">
        <v>-5.0999999999999996</v>
      </c>
      <c r="J6" s="6"/>
      <c r="K6" s="6">
        <v>-1</v>
      </c>
      <c r="L6" s="6">
        <v>-5.8</v>
      </c>
      <c r="M6" s="6"/>
      <c r="N6" s="6">
        <v>-1</v>
      </c>
      <c r="O6" s="6">
        <v>-5.7</v>
      </c>
      <c r="P6" s="6"/>
      <c r="Q6" s="6">
        <v>-1</v>
      </c>
      <c r="R6" s="6">
        <v>-5.8</v>
      </c>
      <c r="S6" s="6"/>
    </row>
    <row r="7" spans="2:19" x14ac:dyDescent="0.25">
      <c r="B7" s="6">
        <v>0.5</v>
      </c>
      <c r="C7" s="6">
        <v>-5</v>
      </c>
      <c r="D7" s="6"/>
      <c r="E7" s="6">
        <v>0.7</v>
      </c>
      <c r="F7" s="6">
        <v>-4.8</v>
      </c>
      <c r="G7" s="6"/>
      <c r="H7" s="6">
        <v>0.7</v>
      </c>
      <c r="I7" s="6">
        <v>-5.0999999999999996</v>
      </c>
      <c r="J7" s="6"/>
      <c r="K7" s="6">
        <v>1</v>
      </c>
      <c r="L7" s="6">
        <v>-5.8</v>
      </c>
      <c r="M7" s="6"/>
      <c r="N7" s="6">
        <v>1</v>
      </c>
      <c r="O7" s="6">
        <v>-5.7</v>
      </c>
      <c r="P7" s="6"/>
      <c r="Q7" s="6">
        <v>1</v>
      </c>
      <c r="R7" s="6">
        <v>-5.8</v>
      </c>
      <c r="S7" s="6"/>
    </row>
    <row r="8" spans="2:19" x14ac:dyDescent="0.25">
      <c r="B8" s="6">
        <v>1.3</v>
      </c>
      <c r="C8" s="6">
        <v>-3.2</v>
      </c>
      <c r="D8" s="6"/>
      <c r="E8" s="6">
        <v>2.4</v>
      </c>
      <c r="F8" s="6">
        <v>-3</v>
      </c>
      <c r="G8" s="6"/>
      <c r="H8" s="6">
        <v>2.4</v>
      </c>
      <c r="I8" s="6">
        <v>-3</v>
      </c>
      <c r="J8" s="6"/>
      <c r="K8" s="6">
        <v>2.5</v>
      </c>
      <c r="L8" s="6">
        <v>-3.2</v>
      </c>
      <c r="M8" s="6"/>
      <c r="N8" s="6">
        <v>3.7</v>
      </c>
      <c r="O8" s="6">
        <v>-2.7</v>
      </c>
      <c r="P8" s="6"/>
      <c r="Q8" s="6">
        <v>5.0999999999999996</v>
      </c>
      <c r="R8" s="6">
        <v>-1.8</v>
      </c>
      <c r="S8" s="6"/>
    </row>
    <row r="9" spans="2:19" x14ac:dyDescent="0.25">
      <c r="B9" s="6">
        <v>3.8</v>
      </c>
      <c r="C9" s="6">
        <v>0</v>
      </c>
      <c r="D9" s="6"/>
      <c r="E9" s="6">
        <v>4.95</v>
      </c>
      <c r="F9" s="6">
        <v>0</v>
      </c>
      <c r="G9" s="6"/>
      <c r="H9" s="6">
        <v>5</v>
      </c>
      <c r="I9" s="6">
        <v>0</v>
      </c>
      <c r="J9" s="6"/>
      <c r="K9" s="6">
        <v>7.29</v>
      </c>
      <c r="L9" s="6">
        <v>0</v>
      </c>
      <c r="M9" s="6"/>
      <c r="N9" s="6">
        <v>7.05</v>
      </c>
      <c r="O9" s="6">
        <v>0</v>
      </c>
      <c r="P9" s="6"/>
      <c r="Q9" s="6">
        <v>8.9</v>
      </c>
      <c r="R9" s="6">
        <v>0</v>
      </c>
      <c r="S9" s="6"/>
    </row>
  </sheetData>
  <mergeCells count="6"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A23" workbookViewId="0">
      <selection activeCell="J39" sqref="J39"/>
    </sheetView>
  </sheetViews>
  <sheetFormatPr defaultRowHeight="15" x14ac:dyDescent="0.25"/>
  <cols>
    <col min="2" max="2" width="9.7109375" bestFit="1" customWidth="1"/>
    <col min="3" max="3" width="10.5703125" customWidth="1"/>
    <col min="4" max="4" width="10.7109375" bestFit="1" customWidth="1"/>
    <col min="5" max="6" width="9.7109375" bestFit="1" customWidth="1"/>
    <col min="9" max="9" width="9.7109375" bestFit="1" customWidth="1"/>
    <col min="10" max="10" width="11" bestFit="1" customWidth="1"/>
    <col min="11" max="11" width="10.7109375" bestFit="1" customWidth="1"/>
  </cols>
  <sheetData>
    <row r="1" spans="2:19" ht="15.75" thickBot="1" x14ac:dyDescent="0.3">
      <c r="C1" t="s">
        <v>87</v>
      </c>
      <c r="I1" t="s">
        <v>100</v>
      </c>
    </row>
    <row r="2" spans="2:19" ht="15.75" thickBot="1" x14ac:dyDescent="0.3">
      <c r="B2" s="11"/>
      <c r="C2" s="12" t="s">
        <v>88</v>
      </c>
      <c r="D2" s="12"/>
      <c r="E2" s="12"/>
      <c r="F2" s="13"/>
      <c r="H2" s="14" t="s">
        <v>89</v>
      </c>
      <c r="I2" s="12">
        <v>2013</v>
      </c>
      <c r="J2" s="12"/>
      <c r="K2" s="15">
        <v>2014</v>
      </c>
      <c r="L2" s="16"/>
    </row>
    <row r="3" spans="2:19" ht="60.75" thickBot="1" x14ac:dyDescent="0.3">
      <c r="B3" s="17">
        <v>41453</v>
      </c>
      <c r="C3" s="18">
        <v>41478</v>
      </c>
      <c r="D3" s="19">
        <v>41491</v>
      </c>
      <c r="E3" s="19">
        <v>41499</v>
      </c>
      <c r="F3" s="20">
        <v>41516</v>
      </c>
      <c r="H3" s="21" t="s">
        <v>90</v>
      </c>
      <c r="I3" s="22" t="s">
        <v>91</v>
      </c>
      <c r="J3" s="22" t="s">
        <v>92</v>
      </c>
      <c r="K3" s="22" t="s">
        <v>93</v>
      </c>
      <c r="L3" s="23" t="s">
        <v>94</v>
      </c>
      <c r="P3" s="24"/>
      <c r="Q3" s="25"/>
      <c r="R3" s="25"/>
      <c r="S3" s="26"/>
    </row>
    <row r="4" spans="2:19" x14ac:dyDescent="0.25">
      <c r="B4" s="27">
        <v>0</v>
      </c>
      <c r="C4" s="28">
        <v>0</v>
      </c>
      <c r="D4" s="28">
        <v>0</v>
      </c>
      <c r="E4" s="28">
        <v>0</v>
      </c>
      <c r="F4" s="29">
        <v>0.4</v>
      </c>
      <c r="H4" s="27" t="s">
        <v>5</v>
      </c>
      <c r="I4" s="28">
        <v>233.75</v>
      </c>
      <c r="J4" s="30">
        <v>955.625</v>
      </c>
      <c r="K4" s="30">
        <v>42.900000000000006</v>
      </c>
      <c r="L4" s="30">
        <v>131.21999999999997</v>
      </c>
      <c r="P4" s="27">
        <v>2011</v>
      </c>
      <c r="Q4">
        <v>936</v>
      </c>
      <c r="R4" s="7">
        <v>4580.447897</v>
      </c>
      <c r="S4" s="29"/>
    </row>
    <row r="5" spans="2:19" x14ac:dyDescent="0.25">
      <c r="B5" s="27"/>
      <c r="C5" s="28"/>
      <c r="D5" s="28"/>
      <c r="E5" s="28">
        <v>1</v>
      </c>
      <c r="F5" s="29">
        <v>1.2</v>
      </c>
      <c r="H5" s="27" t="s">
        <v>6</v>
      </c>
      <c r="I5" s="28">
        <v>111.42</v>
      </c>
      <c r="J5" s="30">
        <v>412.92225000000002</v>
      </c>
      <c r="K5" s="30">
        <v>0</v>
      </c>
      <c r="L5" s="30">
        <v>0</v>
      </c>
      <c r="P5" s="27">
        <v>2012</v>
      </c>
      <c r="Q5">
        <v>890</v>
      </c>
      <c r="R5" s="7">
        <v>5799.6302620000006</v>
      </c>
      <c r="S5" s="29"/>
    </row>
    <row r="6" spans="2:19" x14ac:dyDescent="0.25">
      <c r="B6" s="27">
        <v>0</v>
      </c>
      <c r="C6" s="28">
        <v>10</v>
      </c>
      <c r="D6" s="28">
        <v>11</v>
      </c>
      <c r="E6" s="28">
        <v>21</v>
      </c>
      <c r="F6" s="29">
        <v>36</v>
      </c>
      <c r="H6" s="27" t="s">
        <v>3</v>
      </c>
      <c r="I6" s="28">
        <v>109.5</v>
      </c>
      <c r="J6" s="30">
        <v>146.42250000000001</v>
      </c>
      <c r="K6" s="30">
        <v>0</v>
      </c>
      <c r="L6" s="30">
        <v>0</v>
      </c>
      <c r="P6" s="27">
        <v>2013</v>
      </c>
      <c r="Q6">
        <v>917</v>
      </c>
      <c r="R6" s="7">
        <v>1108.0891200000001</v>
      </c>
      <c r="S6" s="29"/>
    </row>
    <row r="7" spans="2:19" ht="15.75" thickBot="1" x14ac:dyDescent="0.3">
      <c r="B7" s="27">
        <v>0</v>
      </c>
      <c r="C7" s="28">
        <v>0</v>
      </c>
      <c r="D7" s="28">
        <v>0</v>
      </c>
      <c r="E7" s="28">
        <v>4.4000000000000004</v>
      </c>
      <c r="F7" s="29">
        <v>7</v>
      </c>
      <c r="H7" s="27" t="s">
        <v>8</v>
      </c>
      <c r="I7" s="28">
        <v>84.98</v>
      </c>
      <c r="J7" s="30">
        <v>194.81800000000004</v>
      </c>
      <c r="K7" s="30">
        <v>27</v>
      </c>
      <c r="L7" s="30">
        <v>41.56</v>
      </c>
      <c r="P7" s="31">
        <v>2014</v>
      </c>
      <c r="Q7">
        <v>1107</v>
      </c>
      <c r="R7" s="7">
        <v>598.00708699999996</v>
      </c>
      <c r="S7" s="33"/>
    </row>
    <row r="8" spans="2:19" x14ac:dyDescent="0.25">
      <c r="B8" s="27">
        <v>0</v>
      </c>
      <c r="C8" s="28">
        <v>0</v>
      </c>
      <c r="D8" s="28">
        <v>0</v>
      </c>
      <c r="E8" s="28">
        <v>7.5</v>
      </c>
      <c r="F8" s="34">
        <v>10</v>
      </c>
      <c r="H8" s="27" t="s">
        <v>11</v>
      </c>
      <c r="I8" s="28">
        <v>54.259999999999991</v>
      </c>
      <c r="J8" s="30">
        <v>319.05525</v>
      </c>
      <c r="K8" s="30">
        <v>11.059999999999999</v>
      </c>
      <c r="L8" s="30">
        <v>36.546999999999997</v>
      </c>
    </row>
    <row r="9" spans="2:19" x14ac:dyDescent="0.25">
      <c r="B9" s="27">
        <v>0</v>
      </c>
      <c r="C9" s="28">
        <v>0</v>
      </c>
      <c r="D9" s="28">
        <v>5.9</v>
      </c>
      <c r="E9" s="28">
        <v>9.3000000000000007</v>
      </c>
      <c r="F9" s="34">
        <v>11.9</v>
      </c>
      <c r="H9" s="27" t="s">
        <v>4</v>
      </c>
      <c r="I9" s="28">
        <v>25.020000000000003</v>
      </c>
      <c r="J9" s="30">
        <v>40.271000000000001</v>
      </c>
      <c r="K9" s="30">
        <v>16.5</v>
      </c>
      <c r="L9" s="30">
        <v>20.824999999999999</v>
      </c>
    </row>
    <row r="10" spans="2:19" x14ac:dyDescent="0.25">
      <c r="B10" s="27">
        <v>0</v>
      </c>
      <c r="C10" s="28">
        <v>0</v>
      </c>
      <c r="D10" s="28">
        <v>0</v>
      </c>
      <c r="E10" s="28">
        <v>0</v>
      </c>
      <c r="F10" s="34">
        <v>0.2</v>
      </c>
      <c r="H10" s="27" t="s">
        <v>9</v>
      </c>
      <c r="I10" s="28">
        <v>9.879999999999999</v>
      </c>
      <c r="J10" s="30">
        <v>48.934499999999993</v>
      </c>
      <c r="K10" s="30">
        <v>7.0949999999999998</v>
      </c>
      <c r="L10" s="30">
        <v>24.448875000000001</v>
      </c>
    </row>
    <row r="11" spans="2:19" x14ac:dyDescent="0.25">
      <c r="B11" s="27">
        <v>0</v>
      </c>
      <c r="C11" s="28">
        <v>5.4</v>
      </c>
      <c r="D11" s="28">
        <v>15.4</v>
      </c>
      <c r="E11" s="28">
        <v>21.4</v>
      </c>
      <c r="F11" s="34">
        <v>24.4</v>
      </c>
      <c r="H11" s="27" t="s">
        <v>2</v>
      </c>
      <c r="I11" s="28">
        <v>7.26</v>
      </c>
      <c r="J11" s="30">
        <v>30.566250000000004</v>
      </c>
      <c r="K11" s="30">
        <v>0.8</v>
      </c>
      <c r="L11" s="30">
        <v>1.8131250000000001</v>
      </c>
    </row>
    <row r="12" spans="2:19" x14ac:dyDescent="0.25">
      <c r="B12" s="27">
        <v>0</v>
      </c>
      <c r="C12" s="28">
        <v>0</v>
      </c>
      <c r="D12" s="28">
        <v>0</v>
      </c>
      <c r="E12" s="28">
        <v>0</v>
      </c>
      <c r="F12" s="29">
        <v>3.8</v>
      </c>
      <c r="H12" s="27" t="s">
        <v>1</v>
      </c>
      <c r="I12" s="28">
        <v>3.16</v>
      </c>
      <c r="J12" s="30">
        <v>8.8650000000000002</v>
      </c>
      <c r="K12" s="30">
        <v>0</v>
      </c>
      <c r="L12" s="30">
        <v>0</v>
      </c>
    </row>
    <row r="13" spans="2:19" x14ac:dyDescent="0.25">
      <c r="B13" s="27">
        <v>0</v>
      </c>
      <c r="C13" s="28">
        <v>0</v>
      </c>
      <c r="D13" s="28">
        <v>0</v>
      </c>
      <c r="E13" s="28">
        <v>0</v>
      </c>
      <c r="F13" s="29">
        <v>0.7</v>
      </c>
      <c r="H13" s="27" t="s">
        <v>10</v>
      </c>
      <c r="I13" s="28">
        <v>2.0999999999999996</v>
      </c>
      <c r="J13" s="30">
        <v>5.9954999999999989</v>
      </c>
      <c r="K13" s="30">
        <v>0</v>
      </c>
      <c r="L13" s="30">
        <v>0</v>
      </c>
    </row>
    <row r="14" spans="2:19" x14ac:dyDescent="0.25">
      <c r="B14" s="27">
        <v>0</v>
      </c>
      <c r="C14" s="28">
        <v>0</v>
      </c>
      <c r="D14" s="28">
        <v>0</v>
      </c>
      <c r="E14" s="28">
        <v>3.4</v>
      </c>
      <c r="F14" s="34">
        <v>6.2</v>
      </c>
      <c r="H14" s="27" t="s">
        <v>7</v>
      </c>
      <c r="I14" s="28">
        <v>0.32000000000000006</v>
      </c>
      <c r="J14" s="30">
        <v>0.8100000000000005</v>
      </c>
      <c r="K14" s="30">
        <v>0</v>
      </c>
      <c r="L14" s="30">
        <v>0</v>
      </c>
    </row>
    <row r="15" spans="2:19" x14ac:dyDescent="0.25">
      <c r="B15" s="27">
        <v>0</v>
      </c>
      <c r="C15" s="28">
        <v>0</v>
      </c>
      <c r="D15" s="28">
        <v>0</v>
      </c>
      <c r="E15" s="28">
        <v>0</v>
      </c>
      <c r="F15" s="29">
        <v>7.0000000000000007E-2</v>
      </c>
      <c r="H15" s="27" t="s">
        <v>12</v>
      </c>
      <c r="I15" s="28">
        <v>0</v>
      </c>
      <c r="J15" s="30">
        <v>0</v>
      </c>
      <c r="K15" s="30">
        <v>0</v>
      </c>
      <c r="L15" s="30">
        <v>0</v>
      </c>
    </row>
    <row r="16" spans="2:19" ht="15.75" thickBot="1" x14ac:dyDescent="0.3">
      <c r="B16" s="31">
        <v>0</v>
      </c>
      <c r="C16" s="32">
        <v>0</v>
      </c>
      <c r="D16" s="32">
        <v>0</v>
      </c>
      <c r="E16" s="32">
        <v>0</v>
      </c>
      <c r="F16" s="33">
        <v>0.04</v>
      </c>
      <c r="H16" s="31" t="s">
        <v>13</v>
      </c>
      <c r="I16" s="32">
        <v>0</v>
      </c>
      <c r="J16" s="35">
        <v>0</v>
      </c>
      <c r="K16" s="35">
        <v>1.52</v>
      </c>
      <c r="L16" s="35">
        <v>2.4640000000000004</v>
      </c>
    </row>
    <row r="17" spans="1:16" x14ac:dyDescent="0.25">
      <c r="I17">
        <f>SUM(I4:I16)</f>
        <v>641.65</v>
      </c>
      <c r="J17">
        <f t="shared" ref="J17:L17" si="0">SUM(J4:J16)</f>
        <v>2164.2852499999999</v>
      </c>
      <c r="K17">
        <f t="shared" si="0"/>
        <v>106.875</v>
      </c>
      <c r="L17">
        <f t="shared" si="0"/>
        <v>258.87799999999999</v>
      </c>
      <c r="M17">
        <f>(J17+L17)*1.19</f>
        <v>2883.5642674999999</v>
      </c>
    </row>
    <row r="19" spans="1:16" ht="15.75" thickBot="1" x14ac:dyDescent="0.3">
      <c r="C19" t="s">
        <v>102</v>
      </c>
    </row>
    <row r="20" spans="1:16" x14ac:dyDescent="0.25">
      <c r="G20" s="68" t="s">
        <v>98</v>
      </c>
      <c r="H20" s="70"/>
      <c r="I20" s="68" t="s">
        <v>97</v>
      </c>
      <c r="J20" s="69"/>
      <c r="K20" s="70"/>
      <c r="L20" s="68" t="s">
        <v>99</v>
      </c>
      <c r="M20" s="70"/>
      <c r="N20" s="68" t="s">
        <v>101</v>
      </c>
      <c r="O20" s="69"/>
      <c r="P20" s="70"/>
    </row>
    <row r="21" spans="1:16" x14ac:dyDescent="0.25">
      <c r="B21" s="9">
        <v>41356</v>
      </c>
      <c r="C21" s="9">
        <v>41535</v>
      </c>
      <c r="D21" s="9">
        <v>41930</v>
      </c>
      <c r="G21" s="38"/>
      <c r="H21" s="29"/>
      <c r="I21" s="38">
        <v>41356</v>
      </c>
      <c r="J21" s="43">
        <v>41535</v>
      </c>
      <c r="K21" s="44">
        <v>41930</v>
      </c>
      <c r="L21" s="27">
        <v>2013</v>
      </c>
      <c r="M21" s="29">
        <v>2014</v>
      </c>
      <c r="N21" s="27">
        <v>2013</v>
      </c>
      <c r="O21" s="29">
        <v>2014</v>
      </c>
      <c r="P21" s="29" t="s">
        <v>78</v>
      </c>
    </row>
    <row r="22" spans="1:16" x14ac:dyDescent="0.25">
      <c r="A22" t="s">
        <v>1</v>
      </c>
      <c r="B22">
        <v>420</v>
      </c>
      <c r="C22">
        <v>440</v>
      </c>
      <c r="D22">
        <v>440</v>
      </c>
      <c r="F22">
        <v>1.26</v>
      </c>
      <c r="G22" s="39">
        <f>C22-B22</f>
        <v>20</v>
      </c>
      <c r="H22" s="40">
        <f>D22-C22</f>
        <v>0</v>
      </c>
      <c r="I22" s="39">
        <f t="shared" ref="I22:J34" si="1">0.9167*B22^1.184</f>
        <v>1169.9152205968603</v>
      </c>
      <c r="J22" s="45">
        <f t="shared" si="1"/>
        <v>1236.1614625905756</v>
      </c>
      <c r="K22" s="40">
        <f t="shared" ref="K22:K34" si="2">0.9167*D22^1.184</f>
        <v>1236.1614625905756</v>
      </c>
      <c r="L22" s="39">
        <f>J22-I22</f>
        <v>66.24624199371533</v>
      </c>
      <c r="M22" s="40">
        <f>K22-J22</f>
        <v>0</v>
      </c>
      <c r="N22" s="39">
        <f>L22*F22</f>
        <v>83.470264912081319</v>
      </c>
      <c r="O22" s="40">
        <f>M22*F22</f>
        <v>0</v>
      </c>
      <c r="P22" s="40">
        <f>N22+O22</f>
        <v>83.470264912081319</v>
      </c>
    </row>
    <row r="23" spans="1:16" x14ac:dyDescent="0.25">
      <c r="A23" t="s">
        <v>2</v>
      </c>
      <c r="B23">
        <v>3560</v>
      </c>
      <c r="C23">
        <v>3573</v>
      </c>
      <c r="D23">
        <v>3575</v>
      </c>
      <c r="F23">
        <v>1.19</v>
      </c>
      <c r="G23" s="39">
        <f t="shared" ref="G23:H34" si="3">C23-B23</f>
        <v>13</v>
      </c>
      <c r="H23" s="40">
        <f t="shared" si="3"/>
        <v>2</v>
      </c>
      <c r="I23" s="39">
        <f t="shared" si="1"/>
        <v>14694.135115464889</v>
      </c>
      <c r="J23" s="45">
        <f t="shared" si="1"/>
        <v>14757.687934571777</v>
      </c>
      <c r="K23" s="40">
        <f t="shared" si="2"/>
        <v>14767.469072100985</v>
      </c>
      <c r="L23" s="39">
        <f t="shared" ref="L23:L34" si="4">J23-I23</f>
        <v>63.55281910688791</v>
      </c>
      <c r="M23" s="40">
        <f t="shared" ref="M23:M34" si="5">K23-J23</f>
        <v>9.7811375292076264</v>
      </c>
      <c r="N23" s="39">
        <f t="shared" ref="N23:N34" si="6">L23*F23</f>
        <v>75.627854737196614</v>
      </c>
      <c r="O23" s="40">
        <f t="shared" ref="O23:O34" si="7">M23*F23</f>
        <v>11.639553659757075</v>
      </c>
      <c r="P23" s="40">
        <f t="shared" ref="P23:P34" si="8">N23+O23</f>
        <v>87.267408396953684</v>
      </c>
    </row>
    <row r="24" spans="1:16" x14ac:dyDescent="0.25">
      <c r="A24" t="s">
        <v>3</v>
      </c>
      <c r="B24">
        <v>1430</v>
      </c>
      <c r="C24">
        <v>1460</v>
      </c>
      <c r="D24">
        <v>1460</v>
      </c>
      <c r="F24">
        <v>1.1399999999999999</v>
      </c>
      <c r="G24" s="39">
        <f t="shared" si="3"/>
        <v>30</v>
      </c>
      <c r="H24" s="40">
        <f t="shared" si="3"/>
        <v>0</v>
      </c>
      <c r="I24" s="39">
        <f t="shared" si="1"/>
        <v>4990.5119482276414</v>
      </c>
      <c r="J24" s="45">
        <f t="shared" si="1"/>
        <v>5114.7099765078528</v>
      </c>
      <c r="K24" s="40">
        <f t="shared" si="2"/>
        <v>5114.7099765078528</v>
      </c>
      <c r="L24" s="39">
        <f t="shared" si="4"/>
        <v>124.19802828021147</v>
      </c>
      <c r="M24" s="40">
        <f t="shared" si="5"/>
        <v>0</v>
      </c>
      <c r="N24" s="39">
        <f t="shared" si="6"/>
        <v>141.58575223944106</v>
      </c>
      <c r="O24" s="40">
        <f t="shared" si="7"/>
        <v>0</v>
      </c>
      <c r="P24" s="40">
        <f t="shared" si="8"/>
        <v>141.58575223944106</v>
      </c>
    </row>
    <row r="25" spans="1:16" x14ac:dyDescent="0.25">
      <c r="A25" t="s">
        <v>4</v>
      </c>
      <c r="B25">
        <v>750</v>
      </c>
      <c r="C25">
        <v>780</v>
      </c>
      <c r="D25">
        <v>785</v>
      </c>
      <c r="F25">
        <v>1.17</v>
      </c>
      <c r="G25" s="39">
        <f t="shared" si="3"/>
        <v>30</v>
      </c>
      <c r="H25" s="40">
        <f t="shared" si="3"/>
        <v>5</v>
      </c>
      <c r="I25" s="39">
        <f t="shared" si="1"/>
        <v>2324.3405944798033</v>
      </c>
      <c r="J25" s="45">
        <f t="shared" si="1"/>
        <v>2434.8221330930369</v>
      </c>
      <c r="K25" s="40">
        <f t="shared" si="2"/>
        <v>2453.3126880931063</v>
      </c>
      <c r="L25" s="39">
        <f t="shared" si="4"/>
        <v>110.48153861323362</v>
      </c>
      <c r="M25" s="40">
        <f t="shared" si="5"/>
        <v>18.490555000069435</v>
      </c>
      <c r="N25" s="39">
        <f t="shared" si="6"/>
        <v>129.26340017748333</v>
      </c>
      <c r="O25" s="40">
        <f t="shared" si="7"/>
        <v>21.633949350081238</v>
      </c>
      <c r="P25" s="40">
        <f t="shared" si="8"/>
        <v>150.89734952756459</v>
      </c>
    </row>
    <row r="26" spans="1:16" x14ac:dyDescent="0.25">
      <c r="A26" t="s">
        <v>5</v>
      </c>
      <c r="B26">
        <v>13700</v>
      </c>
      <c r="C26">
        <v>13960</v>
      </c>
      <c r="D26">
        <v>14050</v>
      </c>
      <c r="F26">
        <v>1.1599999999999999</v>
      </c>
      <c r="G26" s="39">
        <f t="shared" si="3"/>
        <v>260</v>
      </c>
      <c r="H26" s="40">
        <f t="shared" si="3"/>
        <v>90</v>
      </c>
      <c r="I26" s="39">
        <f t="shared" si="1"/>
        <v>72461.009949223211</v>
      </c>
      <c r="J26" s="45">
        <f t="shared" si="1"/>
        <v>74092.042402978695</v>
      </c>
      <c r="K26" s="40">
        <f t="shared" si="2"/>
        <v>74657.93944491967</v>
      </c>
      <c r="L26" s="39">
        <f t="shared" si="4"/>
        <v>1631.0324537554843</v>
      </c>
      <c r="M26" s="40">
        <f t="shared" si="5"/>
        <v>565.8970419409743</v>
      </c>
      <c r="N26" s="39">
        <f t="shared" si="6"/>
        <v>1891.9976463563617</v>
      </c>
      <c r="O26" s="40">
        <f t="shared" si="7"/>
        <v>656.44056865153016</v>
      </c>
      <c r="P26" s="40">
        <f t="shared" si="8"/>
        <v>2548.4382150078918</v>
      </c>
    </row>
    <row r="27" spans="1:16" x14ac:dyDescent="0.25">
      <c r="A27" t="s">
        <v>6</v>
      </c>
      <c r="B27">
        <v>9110</v>
      </c>
      <c r="C27">
        <v>9580</v>
      </c>
      <c r="D27">
        <v>9960</v>
      </c>
      <c r="F27">
        <v>1.22</v>
      </c>
      <c r="G27" s="39">
        <f t="shared" si="3"/>
        <v>470</v>
      </c>
      <c r="H27" s="40">
        <f t="shared" si="3"/>
        <v>380</v>
      </c>
      <c r="I27" s="39">
        <f t="shared" si="1"/>
        <v>44698.915852404447</v>
      </c>
      <c r="J27" s="45">
        <f t="shared" si="1"/>
        <v>47442.109776600621</v>
      </c>
      <c r="K27" s="40">
        <f t="shared" si="2"/>
        <v>49678.249926804579</v>
      </c>
      <c r="L27" s="39">
        <f t="shared" si="4"/>
        <v>2743.1939241961736</v>
      </c>
      <c r="M27" s="40">
        <f t="shared" si="5"/>
        <v>2236.1401502039589</v>
      </c>
      <c r="N27" s="39">
        <f t="shared" si="6"/>
        <v>3346.6965875193318</v>
      </c>
      <c r="O27" s="40">
        <f t="shared" si="7"/>
        <v>2728.0909832488296</v>
      </c>
      <c r="P27" s="40">
        <f t="shared" si="8"/>
        <v>6074.7875707681615</v>
      </c>
    </row>
    <row r="28" spans="1:16" x14ac:dyDescent="0.25">
      <c r="A28" t="s">
        <v>7</v>
      </c>
      <c r="B28">
        <v>385</v>
      </c>
      <c r="C28">
        <v>390</v>
      </c>
      <c r="D28">
        <v>390</v>
      </c>
      <c r="F28">
        <v>1.1499999999999999</v>
      </c>
      <c r="G28" s="39">
        <f t="shared" si="3"/>
        <v>5</v>
      </c>
      <c r="H28" s="40">
        <f t="shared" si="3"/>
        <v>0</v>
      </c>
      <c r="I28" s="39">
        <f t="shared" si="1"/>
        <v>1055.3894173575354</v>
      </c>
      <c r="J28" s="45">
        <f t="shared" si="1"/>
        <v>1071.6370645391019</v>
      </c>
      <c r="K28" s="40">
        <f t="shared" si="2"/>
        <v>1071.6370645391019</v>
      </c>
      <c r="L28" s="39">
        <f t="shared" si="4"/>
        <v>16.247647181566435</v>
      </c>
      <c r="M28" s="40">
        <f t="shared" si="5"/>
        <v>0</v>
      </c>
      <c r="N28" s="39">
        <f t="shared" si="6"/>
        <v>18.6847942588014</v>
      </c>
      <c r="O28" s="40">
        <f t="shared" si="7"/>
        <v>0</v>
      </c>
      <c r="P28" s="40">
        <f t="shared" si="8"/>
        <v>18.6847942588014</v>
      </c>
    </row>
    <row r="29" spans="1:16" x14ac:dyDescent="0.25">
      <c r="A29" t="s">
        <v>8</v>
      </c>
      <c r="B29">
        <v>3740</v>
      </c>
      <c r="C29">
        <v>3850</v>
      </c>
      <c r="D29">
        <v>3890</v>
      </c>
      <c r="F29">
        <v>1.19</v>
      </c>
      <c r="G29" s="39">
        <f t="shared" si="3"/>
        <v>110</v>
      </c>
      <c r="H29" s="40">
        <f t="shared" si="3"/>
        <v>40</v>
      </c>
      <c r="I29" s="39">
        <f t="shared" si="1"/>
        <v>15577.838904831984</v>
      </c>
      <c r="J29" s="45">
        <f t="shared" si="1"/>
        <v>16121.770521790257</v>
      </c>
      <c r="K29" s="40">
        <f t="shared" si="2"/>
        <v>16320.278265172561</v>
      </c>
      <c r="L29" s="39">
        <f t="shared" si="4"/>
        <v>543.93161695827257</v>
      </c>
      <c r="M29" s="40">
        <f t="shared" si="5"/>
        <v>198.5077433823044</v>
      </c>
      <c r="N29" s="39">
        <f t="shared" si="6"/>
        <v>647.27862418034431</v>
      </c>
      <c r="O29" s="40">
        <f t="shared" si="7"/>
        <v>236.22421462494222</v>
      </c>
      <c r="P29" s="40">
        <f t="shared" si="8"/>
        <v>883.5028388052865</v>
      </c>
    </row>
    <row r="30" spans="1:16" x14ac:dyDescent="0.25">
      <c r="A30" t="s">
        <v>9</v>
      </c>
      <c r="B30">
        <v>1120</v>
      </c>
      <c r="C30">
        <v>1150</v>
      </c>
      <c r="D30">
        <v>1180</v>
      </c>
      <c r="F30">
        <v>1.19</v>
      </c>
      <c r="G30" s="39">
        <f t="shared" si="3"/>
        <v>30</v>
      </c>
      <c r="H30" s="40">
        <f t="shared" si="3"/>
        <v>30</v>
      </c>
      <c r="I30" s="39">
        <f t="shared" si="1"/>
        <v>3736.8130433830866</v>
      </c>
      <c r="J30" s="45">
        <f t="shared" si="1"/>
        <v>3855.613341026843</v>
      </c>
      <c r="K30" s="40">
        <f t="shared" si="2"/>
        <v>3974.9853098957342</v>
      </c>
      <c r="L30" s="39">
        <f t="shared" si="4"/>
        <v>118.80029764375649</v>
      </c>
      <c r="M30" s="40">
        <f t="shared" si="5"/>
        <v>119.37196886889114</v>
      </c>
      <c r="N30" s="39">
        <f t="shared" si="6"/>
        <v>141.37235419607023</v>
      </c>
      <c r="O30" s="40">
        <f t="shared" si="7"/>
        <v>142.05264295398047</v>
      </c>
      <c r="P30" s="40">
        <f t="shared" si="8"/>
        <v>283.42499715005067</v>
      </c>
    </row>
    <row r="31" spans="1:16" x14ac:dyDescent="0.25">
      <c r="A31" t="s">
        <v>10</v>
      </c>
      <c r="B31">
        <v>455</v>
      </c>
      <c r="C31">
        <v>460</v>
      </c>
      <c r="D31">
        <v>460</v>
      </c>
      <c r="F31">
        <v>1.25</v>
      </c>
      <c r="G31" s="39">
        <f t="shared" si="3"/>
        <v>5</v>
      </c>
      <c r="H31" s="40">
        <f t="shared" si="3"/>
        <v>0</v>
      </c>
      <c r="I31" s="39">
        <f t="shared" si="1"/>
        <v>1286.2124971950409</v>
      </c>
      <c r="J31" s="45">
        <f t="shared" si="1"/>
        <v>1302.9642623387492</v>
      </c>
      <c r="K31" s="40">
        <f t="shared" si="2"/>
        <v>1302.9642623387492</v>
      </c>
      <c r="L31" s="39">
        <f t="shared" si="4"/>
        <v>16.751765143708326</v>
      </c>
      <c r="M31" s="40">
        <f t="shared" si="5"/>
        <v>0</v>
      </c>
      <c r="N31" s="39">
        <f t="shared" si="6"/>
        <v>20.939706429635407</v>
      </c>
      <c r="O31" s="40">
        <f t="shared" si="7"/>
        <v>0</v>
      </c>
      <c r="P31" s="40">
        <f t="shared" si="8"/>
        <v>20.939706429635407</v>
      </c>
    </row>
    <row r="32" spans="1:16" x14ac:dyDescent="0.25">
      <c r="A32" t="s">
        <v>11</v>
      </c>
      <c r="B32">
        <v>890</v>
      </c>
      <c r="C32">
        <v>1020</v>
      </c>
      <c r="D32">
        <v>1070</v>
      </c>
      <c r="F32">
        <v>1.23</v>
      </c>
      <c r="G32" s="39">
        <f t="shared" si="3"/>
        <v>130</v>
      </c>
      <c r="H32" s="40">
        <f t="shared" si="3"/>
        <v>50</v>
      </c>
      <c r="I32" s="39">
        <f t="shared" si="1"/>
        <v>2846.4594361333507</v>
      </c>
      <c r="J32" s="45">
        <f t="shared" si="1"/>
        <v>3345.1056182253765</v>
      </c>
      <c r="K32" s="40">
        <f t="shared" si="2"/>
        <v>3540.1170696140225</v>
      </c>
      <c r="L32" s="39">
        <f t="shared" si="4"/>
        <v>498.64618209202581</v>
      </c>
      <c r="M32" s="40">
        <f t="shared" si="5"/>
        <v>195.01145138864604</v>
      </c>
      <c r="N32" s="39">
        <f t="shared" si="6"/>
        <v>613.3348039731917</v>
      </c>
      <c r="O32" s="40">
        <f t="shared" si="7"/>
        <v>239.86408520803462</v>
      </c>
      <c r="P32" s="40">
        <f t="shared" si="8"/>
        <v>853.19888918122638</v>
      </c>
    </row>
    <row r="33" spans="1:16" x14ac:dyDescent="0.25">
      <c r="A33" t="s">
        <v>12</v>
      </c>
      <c r="B33">
        <v>255</v>
      </c>
      <c r="C33">
        <v>255</v>
      </c>
      <c r="D33">
        <v>260</v>
      </c>
      <c r="F33">
        <v>1.22</v>
      </c>
      <c r="G33" s="39">
        <f t="shared" si="3"/>
        <v>0</v>
      </c>
      <c r="H33" s="40">
        <f t="shared" si="3"/>
        <v>5</v>
      </c>
      <c r="I33" s="39">
        <f t="shared" si="1"/>
        <v>647.99373199169429</v>
      </c>
      <c r="J33" s="45">
        <f t="shared" si="1"/>
        <v>647.99373199169429</v>
      </c>
      <c r="K33" s="40">
        <f t="shared" si="2"/>
        <v>663.06434523156474</v>
      </c>
      <c r="L33" s="39">
        <f t="shared" si="4"/>
        <v>0</v>
      </c>
      <c r="M33" s="40">
        <f t="shared" si="5"/>
        <v>15.070613239870454</v>
      </c>
      <c r="N33" s="39">
        <f t="shared" si="6"/>
        <v>0</v>
      </c>
      <c r="O33" s="40">
        <f t="shared" si="7"/>
        <v>18.386148152641955</v>
      </c>
      <c r="P33" s="40">
        <f t="shared" si="8"/>
        <v>18.386148152641955</v>
      </c>
    </row>
    <row r="34" spans="1:16" ht="15.75" thickBot="1" x14ac:dyDescent="0.3">
      <c r="A34" t="s">
        <v>13</v>
      </c>
      <c r="B34">
        <v>365</v>
      </c>
      <c r="C34">
        <v>370</v>
      </c>
      <c r="D34">
        <v>370</v>
      </c>
      <c r="F34">
        <v>1.1399999999999999</v>
      </c>
      <c r="G34" s="41">
        <f t="shared" si="3"/>
        <v>5</v>
      </c>
      <c r="H34" s="42">
        <f t="shared" si="3"/>
        <v>0</v>
      </c>
      <c r="I34" s="41">
        <f t="shared" si="1"/>
        <v>990.79084010828876</v>
      </c>
      <c r="J34" s="46">
        <f t="shared" si="1"/>
        <v>1006.8808305582156</v>
      </c>
      <c r="K34" s="42">
        <f t="shared" si="2"/>
        <v>1006.8808305582156</v>
      </c>
      <c r="L34" s="41">
        <f t="shared" si="4"/>
        <v>16.089990449926859</v>
      </c>
      <c r="M34" s="42">
        <f t="shared" si="5"/>
        <v>0</v>
      </c>
      <c r="N34" s="41">
        <f t="shared" si="6"/>
        <v>18.342589112916617</v>
      </c>
      <c r="O34" s="42">
        <f t="shared" si="7"/>
        <v>0</v>
      </c>
      <c r="P34" s="42">
        <f t="shared" si="8"/>
        <v>18.342589112916617</v>
      </c>
    </row>
    <row r="35" spans="1:16" x14ac:dyDescent="0.25">
      <c r="B35">
        <f t="shared" ref="B35:D35" si="9">SUM(B22:B34)</f>
        <v>36180</v>
      </c>
      <c r="C35">
        <f t="shared" si="9"/>
        <v>37288</v>
      </c>
      <c r="D35">
        <f t="shared" si="9"/>
        <v>37890</v>
      </c>
      <c r="G35" s="7">
        <f>SUM(G22:G34)</f>
        <v>1108</v>
      </c>
      <c r="H35" s="7">
        <f>SUM(H22:H34)</f>
        <v>602</v>
      </c>
      <c r="I35" s="7">
        <f t="shared" ref="I35:J35" si="10">SUM(I22:I34)</f>
        <v>166480.32655139788</v>
      </c>
      <c r="J35" s="7">
        <f t="shared" si="10"/>
        <v>172429.49905681284</v>
      </c>
      <c r="K35" s="7">
        <f t="shared" ref="K35:P35" si="11">SUM(K22:K34)</f>
        <v>175787.76971836673</v>
      </c>
      <c r="L35" s="7">
        <f t="shared" si="11"/>
        <v>5949.172505414962</v>
      </c>
      <c r="M35" s="7">
        <f t="shared" si="11"/>
        <v>3358.2706615539223</v>
      </c>
      <c r="N35" s="7">
        <f t="shared" si="11"/>
        <v>7128.5943780928546</v>
      </c>
      <c r="O35" s="7">
        <f t="shared" si="11"/>
        <v>4054.3321458497976</v>
      </c>
      <c r="P35" s="7">
        <f t="shared" si="11"/>
        <v>11182.926523942655</v>
      </c>
    </row>
    <row r="36" spans="1:16" x14ac:dyDescent="0.25">
      <c r="O36" s="7"/>
    </row>
  </sheetData>
  <sortState ref="Q21:U33">
    <sortCondition ref="Q21"/>
  </sortState>
  <mergeCells count="4">
    <mergeCell ref="I20:K20"/>
    <mergeCell ref="G20:H20"/>
    <mergeCell ref="L20:M20"/>
    <mergeCell ref="N20:P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O11" sqref="O11"/>
    </sheetView>
  </sheetViews>
  <sheetFormatPr defaultRowHeight="15" x14ac:dyDescent="0.25"/>
  <sheetData>
    <row r="1" spans="1:3" ht="75" x14ac:dyDescent="0.25">
      <c r="A1" s="36" t="s">
        <v>71</v>
      </c>
      <c r="B1" s="36" t="s">
        <v>95</v>
      </c>
      <c r="C1" s="36" t="s">
        <v>96</v>
      </c>
    </row>
    <row r="2" spans="1:3" x14ac:dyDescent="0.25">
      <c r="A2" t="s">
        <v>1</v>
      </c>
      <c r="B2" s="37">
        <v>1.5</v>
      </c>
      <c r="C2" s="37">
        <v>3.9233333333333333</v>
      </c>
    </row>
    <row r="3" spans="1:3" x14ac:dyDescent="0.25">
      <c r="A3" t="s">
        <v>2</v>
      </c>
      <c r="B3" s="37">
        <v>1.22</v>
      </c>
      <c r="C3" s="37">
        <v>2.2333333333333334</v>
      </c>
    </row>
    <row r="4" spans="1:3" x14ac:dyDescent="0.25">
      <c r="A4" t="s">
        <v>3</v>
      </c>
      <c r="B4" s="37">
        <v>0.02</v>
      </c>
      <c r="C4" s="37">
        <v>1.3833333333333335</v>
      </c>
    </row>
    <row r="5" spans="1:3" x14ac:dyDescent="0.25">
      <c r="A5" t="s">
        <v>4</v>
      </c>
      <c r="B5" s="37">
        <v>0.59</v>
      </c>
      <c r="C5" s="37">
        <v>2.0249999999999999</v>
      </c>
    </row>
    <row r="6" spans="1:3" x14ac:dyDescent="0.25">
      <c r="A6" t="s">
        <v>5</v>
      </c>
      <c r="B6" s="37">
        <v>0.05</v>
      </c>
      <c r="C6" s="37">
        <v>4.7449999999999992</v>
      </c>
    </row>
    <row r="7" spans="1:3" x14ac:dyDescent="0.25">
      <c r="A7" t="s">
        <v>6</v>
      </c>
      <c r="B7" s="37">
        <v>7.4999999999999997E-2</v>
      </c>
      <c r="C7" s="37">
        <v>4.5666666666666664</v>
      </c>
    </row>
    <row r="8" spans="1:3" x14ac:dyDescent="0.25">
      <c r="A8" t="s">
        <v>7</v>
      </c>
      <c r="B8" s="37">
        <v>1.36</v>
      </c>
      <c r="C8" s="37">
        <v>1.4333333333333333</v>
      </c>
    </row>
    <row r="9" spans="1:3" x14ac:dyDescent="0.25">
      <c r="A9" t="s">
        <v>8</v>
      </c>
      <c r="B9" s="37">
        <v>6.5000000000000002E-2</v>
      </c>
      <c r="C9" s="37">
        <v>3.2888888888888888</v>
      </c>
    </row>
    <row r="10" spans="1:3" x14ac:dyDescent="0.25">
      <c r="A10" t="s">
        <v>9</v>
      </c>
      <c r="B10" s="37">
        <v>1.2</v>
      </c>
      <c r="C10" s="37">
        <v>3.4</v>
      </c>
    </row>
    <row r="11" spans="1:3" x14ac:dyDescent="0.25">
      <c r="A11" t="s">
        <v>10</v>
      </c>
      <c r="B11" s="37">
        <v>1.44</v>
      </c>
      <c r="C11" s="37">
        <v>2.5333333333333332</v>
      </c>
    </row>
    <row r="12" spans="1:3" x14ac:dyDescent="0.25">
      <c r="A12" t="s">
        <v>11</v>
      </c>
      <c r="B12" s="37">
        <v>0.45</v>
      </c>
      <c r="C12" s="37">
        <v>4.2249999999999996</v>
      </c>
    </row>
    <row r="13" spans="1:3" x14ac:dyDescent="0.25">
      <c r="A13" t="s">
        <v>12</v>
      </c>
      <c r="B13" s="37">
        <v>1.38</v>
      </c>
      <c r="C13" s="37">
        <v>1.9</v>
      </c>
    </row>
    <row r="14" spans="1:3" x14ac:dyDescent="0.25">
      <c r="A14" t="s">
        <v>13</v>
      </c>
      <c r="B14" s="37">
        <v>1.25</v>
      </c>
      <c r="C14" s="37">
        <v>1.2999999999999998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 vs A-13 equa.developed</vt:lpstr>
      <vt:lpstr>Totalvolume-Table 1</vt:lpstr>
      <vt:lpstr>Table2</vt:lpstr>
      <vt:lpstr>Fig.2</vt:lpstr>
      <vt:lpstr>Fig.4</vt:lpstr>
      <vt:lpstr>Fig.5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Assefa D</dc:creator>
  <cp:lastModifiedBy>Assefa D</cp:lastModifiedBy>
  <dcterms:created xsi:type="dcterms:W3CDTF">2016-02-19T08:37:33Z</dcterms:created>
  <dcterms:modified xsi:type="dcterms:W3CDTF">2016-03-02T19:42:19Z</dcterms:modified>
</cp:coreProperties>
</file>